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</sheets>
  <definedNames>
    <definedName name="_xlnm.Print_Area" localSheetId="0">'ДОХОДЫ'!$A$1:$F$74</definedName>
    <definedName name="_xlnm.Print_Area" localSheetId="1">'РАСХОДЫ'!$A$1:$M$415</definedName>
  </definedNames>
  <calcPr fullCalcOnLoad="1"/>
</workbook>
</file>

<file path=xl/sharedStrings.xml><?xml version="1.0" encoding="utf-8"?>
<sst xmlns="http://schemas.openxmlformats.org/spreadsheetml/2006/main" count="1025" uniqueCount="730">
  <si>
    <t>на 01 января 2013 г.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</si>
  <si>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</si>
  <si>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</si>
  <si>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941 0310 2470400 500 340</t>
  </si>
  <si>
    <t>941 0310 2470400 500 310</t>
  </si>
  <si>
    <t>941 0310 2470400 500 300</t>
  </si>
  <si>
    <t>941 0310 2470400 500 226</t>
  </si>
  <si>
    <t>941 0310 2470400 500 220</t>
  </si>
  <si>
    <t>941 0310 2470400 500 200</t>
  </si>
  <si>
    <t>941 0310 2470400 500 000</t>
  </si>
  <si>
    <t>941 0310 2470400 000 000</t>
  </si>
  <si>
    <t>941 0501 1020000 000 000</t>
  </si>
  <si>
    <t>941 0501 1020102 000 000</t>
  </si>
  <si>
    <t>941 0501 1020102 003 000</t>
  </si>
  <si>
    <t>941 0501 1020102 003 300</t>
  </si>
  <si>
    <t>941 0501 1020102 003 310</t>
  </si>
  <si>
    <t>Мероприятия в области строительства, архитектуры и градостроительства</t>
  </si>
  <si>
    <t>941 0801 3380000 000 000</t>
  </si>
  <si>
    <t>941 0801 3380000 500 000</t>
  </si>
  <si>
    <t>941 0801 3380000 500 200</t>
  </si>
  <si>
    <t>941 0801 3380000 500 220</t>
  </si>
  <si>
    <t>941 0801 3380000 500 226</t>
  </si>
  <si>
    <t>941 0310 2470000 000 000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</si>
  <si>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</si>
  <si>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 в границах населенных пунктов</t>
  </si>
  <si>
    <t>941 0801 4409900 500 225</t>
  </si>
  <si>
    <t>000 1 06 04000 02 0000 110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</si>
  <si>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</si>
  <si>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</si>
  <si>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</si>
  <si>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</si>
  <si>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</si>
  <si>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</si>
  <si>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</si>
  <si>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</si>
  <si>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</si>
  <si>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941 0409 5224011 000 000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</si>
  <si>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</si>
  <si>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941 0409 5224013 000 000</t>
  </si>
  <si>
    <t>Предоставление субсидии на возмещение недополученных доходов в связис оказанием услуг теплоснабжения</t>
  </si>
  <si>
    <t>941 0502 7956200 000 000</t>
  </si>
  <si>
    <t>Учреждения в сфере молодёжной политики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</si>
  <si>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</si>
  <si>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941 0801 5210100 000 000</t>
  </si>
  <si>
    <t>Субсидии муниципальным образованиям для оказания государственной поддержки молодым граждана, нуждающимся в улучшении жилищных условий, на строительство (приобретение) жилья</t>
  </si>
  <si>
    <t>941 1003 5221702 000 000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</si>
  <si>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</si>
  <si>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</si>
  <si>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941 0501 3500200 500 225</t>
  </si>
  <si>
    <t>941 0501 3500300 006 242</t>
  </si>
  <si>
    <t>941 0501 3500300 500 226</t>
  </si>
  <si>
    <t>941 0405 2600400 006 242</t>
  </si>
  <si>
    <t>941 0408 3030200 006 242</t>
  </si>
  <si>
    <t>941 0412 7956203 500 226</t>
  </si>
  <si>
    <t>941 0502 3510500 500 225</t>
  </si>
  <si>
    <t>941 0502 3510500 500 226</t>
  </si>
  <si>
    <t>941 0502 3510500 500 310</t>
  </si>
  <si>
    <t>941 0502 3510500 500 340</t>
  </si>
  <si>
    <t>941 0503 6000100 500 223</t>
  </si>
  <si>
    <t>941 0503 6000100 500 225</t>
  </si>
  <si>
    <t>941 0503 6000100 500 226</t>
  </si>
  <si>
    <t>941 0503 6000300 500 225</t>
  </si>
  <si>
    <t>941 0503 6000300 500 340</t>
  </si>
  <si>
    <t>941 0503 6000400 500 225</t>
  </si>
  <si>
    <t>941 0503 6000500 500 225</t>
  </si>
  <si>
    <t>941 0503 6000500 500 226</t>
  </si>
  <si>
    <t>941 0503 1020102 003 310</t>
  </si>
  <si>
    <t>941 0104 5210600 017 251</t>
  </si>
  <si>
    <t>941 0106 5210600 017 251</t>
  </si>
  <si>
    <t>941 0113 5210600 017 251</t>
  </si>
  <si>
    <t>941 1001 5210600 017 251</t>
  </si>
  <si>
    <t>941 0503 6000500 500 340</t>
  </si>
  <si>
    <t>941 1003 7956202 500 262</t>
  </si>
  <si>
    <t>941 1301 0650300 013 231</t>
  </si>
  <si>
    <t>941 0503 6000500 500 310</t>
  </si>
  <si>
    <t>941 0104 0020400 500 200</t>
  </si>
  <si>
    <t>941 0104 0020400 500 300</t>
  </si>
  <si>
    <t>Расходы</t>
  </si>
  <si>
    <t>941 0104 0020400 500 210</t>
  </si>
  <si>
    <t>941 0104 0020400 500 220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</si>
  <si>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</si>
  <si>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</si>
  <si>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</si>
  <si>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Поступление нефинансовых активов</t>
  </si>
  <si>
    <t>941 0104 0020800 500 200</t>
  </si>
  <si>
    <t>941 0104 5210600 017 200</t>
  </si>
  <si>
    <t>941 0104 5210600 017 250</t>
  </si>
  <si>
    <t>Безвозмездные перечисления бюджетам</t>
  </si>
  <si>
    <t>Перечисления другим бюджетам бюджетной системы Российской Федерации</t>
  </si>
  <si>
    <t>941 0106 5210600 017 200</t>
  </si>
  <si>
    <t>941 0106 5210600 017 250</t>
  </si>
  <si>
    <t>941 0111 0700500 013 200</t>
  </si>
  <si>
    <t>941 0113 0920302 500 200</t>
  </si>
  <si>
    <t>941 0113 0920302 500 220</t>
  </si>
  <si>
    <t>941 0113 5210600 017 200</t>
  </si>
  <si>
    <t>941 0113 5210600 017 250</t>
  </si>
  <si>
    <t>941 0203 0013600 500 200</t>
  </si>
  <si>
    <t>941 0203 0013600 500 210</t>
  </si>
  <si>
    <t>941 0203 0013600 500 220</t>
  </si>
  <si>
    <t>941 0309 2180100 500 200</t>
  </si>
  <si>
    <t>941 0309 2180100 500 220</t>
  </si>
  <si>
    <t>941 0405 2600400 006 200</t>
  </si>
  <si>
    <t>941 0405 2600400 006 240</t>
  </si>
  <si>
    <t>Безвозмездные перечисления организациям</t>
  </si>
  <si>
    <t>941 0408 3030200 006 200</t>
  </si>
  <si>
    <t>941 0408 3030200 006 240</t>
  </si>
  <si>
    <t>941 0412 7956203 500 200</t>
  </si>
  <si>
    <t>941 0412 7956203 500 220</t>
  </si>
  <si>
    <t>941 0501 3500200 500 200</t>
  </si>
  <si>
    <t>941 0501 3500200 500 220</t>
  </si>
  <si>
    <t>941 0501 3500300 006 200</t>
  </si>
  <si>
    <t>941 0501 3500300 006 240</t>
  </si>
  <si>
    <t>941 0501 3500300 500 200</t>
  </si>
  <si>
    <t>941 0501 3500300 500 220</t>
  </si>
  <si>
    <t>941 0502 3510500 500 200</t>
  </si>
  <si>
    <t>941 0502 3510500 500 220</t>
  </si>
  <si>
    <t>941 0502 3510500 500 300</t>
  </si>
  <si>
    <t>941 0503 1020102 003 300</t>
  </si>
  <si>
    <t>941 0503 6000100 500 200</t>
  </si>
  <si>
    <t>941 0503 6000100 500 220</t>
  </si>
  <si>
    <t>941 0503 6000300 500 200</t>
  </si>
  <si>
    <t>941 0503 6000300 500 220</t>
  </si>
  <si>
    <t>941 0503 6000300 500 300</t>
  </si>
  <si>
    <t>941 0503 6000500 500 300</t>
  </si>
  <si>
    <t>941 0503 6000500 500 200</t>
  </si>
  <si>
    <t>941 0503 6000500 500 220</t>
  </si>
  <si>
    <t>941 0503 6000400 500 200</t>
  </si>
  <si>
    <t>941 0503 6000400 500 220</t>
  </si>
  <si>
    <t>951 0102 0020300 500 200</t>
  </si>
  <si>
    <t>951 0102 0020300 500 210</t>
  </si>
  <si>
    <t>941 1001 5210600 017 200</t>
  </si>
  <si>
    <t>941 1001 5210600 017 250</t>
  </si>
  <si>
    <t>941 0104 0020800 500 210</t>
  </si>
  <si>
    <t>Социальное обеспечение</t>
  </si>
  <si>
    <t>Пособия по социальной помощи населению</t>
  </si>
  <si>
    <t>941 1003 7956202 500 200</t>
  </si>
  <si>
    <t>941 1003 7956202 500 260</t>
  </si>
  <si>
    <t>941 1301 0650300 013 200</t>
  </si>
  <si>
    <t>941 1301 0650300 013 230</t>
  </si>
  <si>
    <t>Обслуживание государственного (муниципального) долга</t>
  </si>
  <si>
    <t>Обслуживание внутреннего долга</t>
  </si>
  <si>
    <t>НАЛОГИ НА ПРИБЫЛЬ, ДОХОДЫ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</si>
  <si>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</si>
  <si>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</si>
  <si>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</si>
  <si>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</si>
  <si>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</si>
  <si>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</si>
  <si>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</si>
  <si>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</si>
  <si>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</si>
  <si>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</si>
  <si>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</si>
  <si>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</si>
  <si>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</si>
  <si>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</si>
  <si>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</si>
  <si>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</si>
  <si>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</si>
  <si>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</si>
  <si>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</si>
  <si>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</si>
  <si>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</si>
  <si>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</si>
  <si>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</si>
  <si>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</si>
  <si>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</si>
  <si>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</si>
  <si>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</si>
  <si>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</si>
  <si>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</si>
  <si>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</si>
  <si>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</si>
  <si>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</si>
  <si>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</si>
  <si>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</si>
  <si>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</si>
  <si>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</si>
  <si>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</si>
  <si>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</si>
  <si>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</si>
  <si>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</si>
  <si>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</si>
  <si>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</si>
  <si>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</si>
  <si>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</si>
  <si>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Физическая культура и спорт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</si>
  <si>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</si>
  <si>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</si>
  <si>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</si>
  <si>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</si>
  <si>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</si>
  <si>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</si>
  <si>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</si>
  <si>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</si>
  <si>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 xml:space="preserve">                                  3. Источники финансирования дефицитов бюджетов</t>
  </si>
  <si>
    <t>Форма 0503117  с.3</t>
  </si>
  <si>
    <t>Социальная политика</t>
  </si>
  <si>
    <t>НАЛОГОВЫЕ И НЕНАЛОГОВЫЕ ДОХОДЫ</t>
  </si>
  <si>
    <t>Форма по ОКУД</t>
  </si>
  <si>
    <t>Глава по БК</t>
  </si>
  <si>
    <t>1. Доходы бюджета</t>
  </si>
  <si>
    <t>ДОХОДЫ БЮДЖЕТА - ВСЕГО</t>
  </si>
  <si>
    <t>010</t>
  </si>
  <si>
    <t>Межбюджетные трансферты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</si>
  <si>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</si>
  <si>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</si>
  <si>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</si>
  <si>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</si>
  <si>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</si>
  <si>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000 1 08 00000 00 0000 000</t>
  </si>
  <si>
    <t>000 1 09 00000 00 0000 000</t>
  </si>
  <si>
    <t>000 2 02 00000 00 0000 000</t>
  </si>
  <si>
    <t>000 2 00 00000 00 0000 000</t>
  </si>
  <si>
    <t>000 1 17 00000 00 0000 000</t>
  </si>
  <si>
    <t>000 1 14 00000 00 0000 000</t>
  </si>
  <si>
    <t>000 1 11 00000 00 0000 000</t>
  </si>
  <si>
    <t>000 1 09 04050 10 0000 110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</si>
  <si>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</si>
  <si>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</si>
  <si>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</si>
  <si>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</si>
  <si>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</si>
  <si>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</si>
  <si>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</si>
  <si>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</si>
  <si>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</si>
  <si>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</si>
  <si>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</si>
  <si>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000.01030000000000.700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</si>
  <si>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</si>
  <si>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000.01030000100000.710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</si>
  <si>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</si>
  <si>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000.01030000000000.800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</si>
  <si>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</si>
  <si>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000.01030000100000.810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</si>
  <si>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</si>
  <si>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</si>
  <si>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</si>
  <si>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</si>
  <si>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</si>
  <si>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</si>
  <si>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</si>
  <si>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</si>
  <si>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</si>
  <si>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</si>
  <si>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</si>
  <si>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</si>
  <si>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</si>
  <si>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</si>
  <si>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</si>
  <si>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</si>
  <si>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</si>
  <si>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бюджетной классификации</t>
  </si>
  <si>
    <t>Наименование</t>
  </si>
  <si>
    <t>Код расходов                                      по бюджетной классификации</t>
  </si>
  <si>
    <t>Администрация МО "Приморское городское поселение"</t>
  </si>
  <si>
    <t>941 000 0000000 000 000</t>
  </si>
  <si>
    <t>Общегосударственные вопросы</t>
  </si>
  <si>
    <t>941 0100 0000000 000 000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</si>
  <si>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</si>
  <si>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941 0104 0000000 000 000</t>
  </si>
  <si>
    <t>Руководство и управление в  сфере установленных функций органов местного самоуправления</t>
  </si>
  <si>
    <t>941 0104 0020000 000 000</t>
  </si>
  <si>
    <t>Центральный аппарат</t>
  </si>
  <si>
    <t>941 0104 0020400 000 000</t>
  </si>
  <si>
    <t>Выполнение функций органами местного самоуправления</t>
  </si>
  <si>
    <t>941 0104 0020400 500 000</t>
  </si>
  <si>
    <t>Глава местной администрации</t>
  </si>
  <si>
    <t>941 0104 0020800 000 000</t>
  </si>
  <si>
    <t>941 0104 0020800 500 000</t>
  </si>
  <si>
    <t>941 0104 5210000 000 000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</si>
  <si>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</si>
  <si>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941 0104 5210600 000 000</t>
  </si>
  <si>
    <t>Иные межбюджетные трансферты</t>
  </si>
  <si>
    <t>941 0104 5210600 017 000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</si>
  <si>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</si>
  <si>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941 0106 0000000 000 000</t>
  </si>
  <si>
    <t>941 0106 5210000 000 000</t>
  </si>
  <si>
    <t>941 0106 5210600 000 000</t>
  </si>
  <si>
    <t>941 0106 5210600 017 000</t>
  </si>
  <si>
    <t>941 0111 0000000 000 000</t>
  </si>
  <si>
    <t>941 0111 0700000 000 000</t>
  </si>
  <si>
    <t>Резервные фонды местных администраций</t>
  </si>
  <si>
    <t>941 0111 0700500 000 000</t>
  </si>
  <si>
    <t>941 0111 0700500 013 000</t>
  </si>
  <si>
    <t xml:space="preserve">Другие общегосударственные вопросы </t>
  </si>
  <si>
    <t>941 0113 0000000 000 000</t>
  </si>
  <si>
    <t>Реализация государственных функций, связанных с общегосударственным управлением</t>
  </si>
  <si>
    <t>941 0113 0920000 000 000</t>
  </si>
  <si>
    <t>Выполнение других обязательств государства</t>
  </si>
  <si>
    <t>941 0113 0920300 000 000</t>
  </si>
  <si>
    <t>Публикация нормативно-правовых актов и другой официальной информации</t>
  </si>
  <si>
    <t>941 0113 0920302 000 000</t>
  </si>
  <si>
    <t>941 0113 0920302 500 000</t>
  </si>
  <si>
    <t>941 0113 5210000 000 000</t>
  </si>
  <si>
    <t>941 0113 5210600 000 000</t>
  </si>
  <si>
    <t>941 0113 5210600 017 000</t>
  </si>
  <si>
    <t>Национальная оборона</t>
  </si>
  <si>
    <t>941 0200 0000000 000 000</t>
  </si>
  <si>
    <t>941 0203 0000000 000 000</t>
  </si>
  <si>
    <t>Руководство и управление в сфере 
установленных функций</t>
  </si>
  <si>
    <t>941 0203 0010000 000 000</t>
  </si>
  <si>
    <t>Осуществление первичного воинского учета на территориях , где отсутствуют военные комиссариаты</t>
  </si>
  <si>
    <t>941 0203 0013600 000 000</t>
  </si>
  <si>
    <t>941 0203 0013600 500 000</t>
  </si>
  <si>
    <t>Национальная безопасность и правоохранительная деятельность</t>
  </si>
  <si>
    <t>941 0300 0000000 000 000</t>
  </si>
  <si>
    <t>941 0309 0000000 000 000</t>
  </si>
  <si>
    <t>Мероприятия по предупреждению и ликвидации последствий чрезвычайных и стихийных бедствий</t>
  </si>
  <si>
    <t>941 0309 2180000 000 000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</si>
  <si>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</si>
  <si>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941 0309 2180100 000 000</t>
  </si>
  <si>
    <t xml:space="preserve">Выполнение  функций органами  местного  самоуправления           </t>
  </si>
  <si>
    <t>941 0309 2180100 500 000</t>
  </si>
  <si>
    <t>941 0310 0000000 000 000</t>
  </si>
  <si>
    <t>Целевые программы муниципальных образований</t>
  </si>
  <si>
    <t>Национальная экономика</t>
  </si>
  <si>
    <t>941 0400 0000000 000 000</t>
  </si>
  <si>
    <t>941 0405 0000000 000 000</t>
  </si>
  <si>
    <t>Государственная поддержка сельского хозяйства</t>
  </si>
  <si>
    <t>941 0405 2600000 000 000</t>
  </si>
  <si>
    <t>Мероприятия в области сельскохозяйственного производства</t>
  </si>
  <si>
    <t>941 0405 2600400 000 000</t>
  </si>
  <si>
    <t>Субсидии юридическим лицам</t>
  </si>
  <si>
    <t>941 0405 2600400 006 000</t>
  </si>
  <si>
    <t>941 0408 0000000 000 000</t>
  </si>
  <si>
    <t>Мероприятия в области автомобильного транспорта</t>
  </si>
  <si>
    <t>941 0408 3030000 000 000</t>
  </si>
  <si>
    <t>Субсидии на проведение отдельных мероприятий по другим видам транспорта</t>
  </si>
  <si>
    <t>941 0408 3030200 000 000</t>
  </si>
  <si>
    <t>941 0408 3030200 006 000</t>
  </si>
  <si>
    <t>Другие  вопросы в области национальной экономики</t>
  </si>
  <si>
    <t>941 0412 0000000 000 000</t>
  </si>
  <si>
    <t>941 0412 7950000 000 000</t>
  </si>
  <si>
    <t>941 0412 7956200 000 000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</si>
  <si>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</si>
  <si>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941 0412 7956203 000 000</t>
  </si>
  <si>
    <t>941 0412 7956203 500 000</t>
  </si>
  <si>
    <t>Жилищно-коммунальное хозяйство</t>
  </si>
  <si>
    <t>941 0500 0000000 000 000</t>
  </si>
  <si>
    <t>941 0501 0000000 000 000</t>
  </si>
  <si>
    <t>Поддержка  жилищного  хозяйства</t>
  </si>
  <si>
    <t>941 0501 3500000 000 000</t>
  </si>
  <si>
    <t>Капитальный ремонт государственного жилого фонда субъектов Российской Федерации и муниципального жилого фонда</t>
  </si>
  <si>
    <t>941 0501 3500200 000 000</t>
  </si>
  <si>
    <t>941 0501 3500200 500 000</t>
  </si>
  <si>
    <t>Мероприятия в области жилищного хозяйства</t>
  </si>
  <si>
    <t>941 0501 3500300 000 000</t>
  </si>
  <si>
    <t>941 0501 3500300 006 000</t>
  </si>
  <si>
    <t>941 0501 3500300 500 000</t>
  </si>
  <si>
    <t>941 0502 0000000 000 000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</si>
  <si>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</si>
  <si>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</si>
  <si>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</si>
  <si>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Поддержка коммунального хозяйства</t>
  </si>
  <si>
    <t>941 0502 3510000 000 000</t>
  </si>
  <si>
    <t>Мероприятия в области коммунального хозяйства</t>
  </si>
  <si>
    <t>941 0502 3510500 000 000</t>
  </si>
  <si>
    <t>941 0502 3510500 500 000</t>
  </si>
  <si>
    <t>941 0503 0000000 000 000</t>
  </si>
  <si>
    <t>941 0503 1020000 000 000</t>
  </si>
  <si>
    <t>941 0503 1020102 000 000</t>
  </si>
  <si>
    <t>941 0503 1020102 003 000</t>
  </si>
  <si>
    <t>941 0503 6000000 000 000</t>
  </si>
  <si>
    <t>Уличное освещение</t>
  </si>
  <si>
    <t>941 0503 6000100 000 000</t>
  </si>
  <si>
    <t>941 0503 6000100 500 000</t>
  </si>
  <si>
    <t>Озеленение</t>
  </si>
  <si>
    <t>941 0503 6000300 000 000</t>
  </si>
  <si>
    <t>941 0503 6000300 500 000</t>
  </si>
  <si>
    <t>Организация и содержание мест захоронения</t>
  </si>
  <si>
    <t>941 0503 6000400 000 000</t>
  </si>
  <si>
    <t>941 0503 6000400 500 000</t>
  </si>
  <si>
    <t>Прочие мероприятия по благоустройству городских округов и поселений</t>
  </si>
  <si>
    <t>941 0503 6000500 000 000</t>
  </si>
  <si>
    <t>941 0503 6000500 500 000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</si>
  <si>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</si>
  <si>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Культура, кинематография</t>
  </si>
  <si>
    <t>941 0800 0000000 000 000</t>
  </si>
  <si>
    <t>941 0801 0000000 000 000</t>
  </si>
  <si>
    <t>941 1000 0000000 000 000</t>
  </si>
  <si>
    <t>Пенсионное обеспечение</t>
  </si>
  <si>
    <t>941 1001 0000000 000 000</t>
  </si>
  <si>
    <t>941 1001 5210000 000 000</t>
  </si>
  <si>
    <t>941 1001 5210600 000 000</t>
  </si>
  <si>
    <t>941 1001 5210600 017 000</t>
  </si>
  <si>
    <t>Социальное  обеспечение  населения</t>
  </si>
  <si>
    <t>941 1003 0000000 000 000</t>
  </si>
  <si>
    <t>Социальные  выплаты</t>
  </si>
  <si>
    <t>941 1003 7950000 000 000</t>
  </si>
  <si>
    <t>941 1003 7956200 000 000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</si>
  <si>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</si>
  <si>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941 1003 7956202 000 000</t>
  </si>
  <si>
    <t>941 1003 7956202 500 000</t>
  </si>
  <si>
    <t>941 1300 0000000 000 000</t>
  </si>
  <si>
    <t>941 1301 0000000 000 000</t>
  </si>
  <si>
    <t>Процентные платежи по долговым обязательствам</t>
  </si>
  <si>
    <t>941 1301 0650000 000 000</t>
  </si>
  <si>
    <t>Процентные платежи по муниципальному долгу</t>
  </si>
  <si>
    <t>941 1301 0650300 000 000</t>
  </si>
  <si>
    <t>941 1301 0650300 013 000</t>
  </si>
  <si>
    <t>Образование</t>
  </si>
  <si>
    <t>Молодежная  политика  и  оздоровление  детей</t>
  </si>
  <si>
    <t>Организационно - воспитательная  работа с  молодежью</t>
  </si>
  <si>
    <t>Обеспечение деятельности подведомственных учреждений</t>
  </si>
  <si>
    <t>Библиотеки</t>
  </si>
  <si>
    <t xml:space="preserve">Физическая культура </t>
  </si>
  <si>
    <t>Центры спортивной подготовки (сборные команды)</t>
  </si>
  <si>
    <t>Совет депутатов МО "Приморское городское поселение"</t>
  </si>
  <si>
    <t>951 0000 0000000 000 000</t>
  </si>
  <si>
    <t>951 0100 0000000 000 000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</si>
  <si>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</si>
  <si>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</si>
  <si>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951 0102 0020000 000 000</t>
  </si>
  <si>
    <t>Глава муниципального образования</t>
  </si>
  <si>
    <t>951 0102 0020300 000 000</t>
  </si>
  <si>
    <t>951 0102 0020300 500 000</t>
  </si>
  <si>
    <t>Результат исполнения бюджета (дефицит/профицит)</t>
  </si>
  <si>
    <t>450</t>
  </si>
  <si>
    <t>Расходы бюджета - всего,                        в том числе:</t>
  </si>
  <si>
    <t>Код дохода по бюджетной классификации</t>
  </si>
  <si>
    <t>Налог на имущество физических лиц</t>
  </si>
  <si>
    <t>000 1 06 06000 00 0000 110</t>
  </si>
  <si>
    <t>Безвозмездные поступления от других бюджетов бюджетной системы Российской Федерации</t>
  </si>
  <si>
    <t xml:space="preserve">Задолженность и перерасчеты по отмененным налогам, сборам и иным обязательным платежам </t>
  </si>
  <si>
    <t>Администрация МО "Приморское городское поселение" Выборгского района Ленинградской области</t>
  </si>
  <si>
    <t>951 0102 0020300 500 211</t>
  </si>
  <si>
    <t>951 0102 0020300 500 213</t>
  </si>
  <si>
    <t>941 0104 0020400 500 211</t>
  </si>
  <si>
    <t>941 0104 0020400 500 213</t>
  </si>
  <si>
    <t>941 0104 0020400 500 212</t>
  </si>
  <si>
    <t>941 0104 0020400 500 221</t>
  </si>
  <si>
    <t>941 0104 0020400 500 222</t>
  </si>
  <si>
    <t>941 0104 0020400 500 223</t>
  </si>
  <si>
    <t>941 0104 0020400 500 224</t>
  </si>
  <si>
    <t>941 0104 0020400 500 225</t>
  </si>
  <si>
    <t>941 0104 0020400 500 226</t>
  </si>
  <si>
    <t>941 0104 0020400 500 290</t>
  </si>
  <si>
    <t>941 0104 0020400 500 310</t>
  </si>
  <si>
    <t>941 0104 0020400 500 340</t>
  </si>
  <si>
    <t>941 0104 0020800 500 211</t>
  </si>
  <si>
    <t>941 0104 0020800 500 213</t>
  </si>
  <si>
    <t>941 0203 0013600 500 211</t>
  </si>
  <si>
    <t>941 0203 0013600 500 213</t>
  </si>
  <si>
    <t>941 0203 0013600 500 222</t>
  </si>
  <si>
    <t>941 0111 0700500 013 290</t>
  </si>
  <si>
    <t>941 0309 2180100 500 226</t>
  </si>
  <si>
    <t>941 0113 0920302 500 226</t>
  </si>
  <si>
    <t>941 0501 3500200 500 226</t>
  </si>
  <si>
    <t>х</t>
  </si>
  <si>
    <t>2. Расходы бюджета</t>
  </si>
  <si>
    <t>Форма 0503117  с.2</t>
  </si>
  <si>
    <t>000 2 07 05000 10 0000 180</t>
  </si>
  <si>
    <t>941 0501 3500300 500 300</t>
  </si>
  <si>
    <t>941 0501 3500300 500 340</t>
  </si>
  <si>
    <t>Региональные целевые программы</t>
  </si>
  <si>
    <t>941 0503 6000100 500 300</t>
  </si>
  <si>
    <t>941 0503 6000100 500 340</t>
  </si>
  <si>
    <t>941 0503 6000100 500 310</t>
  </si>
  <si>
    <t>000 1 06 01000 00 0000 000</t>
  </si>
  <si>
    <t>Дорожное хозяйство (дорожные фонды)</t>
  </si>
  <si>
    <t>Дорожное хозяйство</t>
  </si>
  <si>
    <t>Отдельные мероприятия в области дорожного хозяйства</t>
  </si>
  <si>
    <t>941 0409 0000000 000 000</t>
  </si>
  <si>
    <t>941 0409 3150000 000 000</t>
  </si>
  <si>
    <t>941 0409 3150300 000 000</t>
  </si>
  <si>
    <t>941 0409 3150300 500 000</t>
  </si>
  <si>
    <t>941 0409 3150300 500 200</t>
  </si>
  <si>
    <t>941 0409 3150300 500 220</t>
  </si>
  <si>
    <t>941 0409 3150300 500 222</t>
  </si>
  <si>
    <t>941 0409 3150300 500 225</t>
  </si>
  <si>
    <t>941 0409 7950000 000 000</t>
  </si>
  <si>
    <t>941 0409 7956200 000 000</t>
  </si>
  <si>
    <t>941 0409 7956204 000 000</t>
  </si>
  <si>
    <t>941 0409 7956204 500 000</t>
  </si>
  <si>
    <t>941 0409 7956204 500 200</t>
  </si>
  <si>
    <t>941 0409 7956204 500 220</t>
  </si>
  <si>
    <t>941 0409 7956204 500 225</t>
  </si>
  <si>
    <t>941 0502 3510200 000 000</t>
  </si>
  <si>
    <t>941 0502 3510200 006 000</t>
  </si>
  <si>
    <t>941 0502 3510200 006 200</t>
  </si>
  <si>
    <t>941 0502 3510200 006 240</t>
  </si>
  <si>
    <t>941 0502 3510200 006 242</t>
  </si>
  <si>
    <t>Безвозмездные и безвозвратные перечисления организациям, за исключением государственных и муниципальных организаций</t>
  </si>
  <si>
    <t>Субсидии бюджетным учреждениям</t>
  </si>
  <si>
    <t>941 0700 0000000 000 000</t>
  </si>
  <si>
    <t>941 0707 0000000 000 000</t>
  </si>
  <si>
    <t>941 0707 4310000 000 000</t>
  </si>
  <si>
    <t>941 0707 4319900 000 000</t>
  </si>
  <si>
    <t>941 0707 4319900 019 000</t>
  </si>
  <si>
    <t>941 0707 4319900 019 200</t>
  </si>
  <si>
    <t>941 0707 4319900 019 240</t>
  </si>
  <si>
    <t>941 0707 4319900 019 241</t>
  </si>
  <si>
    <t>941 0801 4400000 000 000</t>
  </si>
  <si>
    <t>941 0801 4409900 000 000</t>
  </si>
  <si>
    <t>941 0801 4409900 019 000</t>
  </si>
  <si>
    <t>941 0801 4409900 019 200</t>
  </si>
  <si>
    <t>941 0801 4409900 019 240</t>
  </si>
  <si>
    <t>941 0801 4409900 019 241</t>
  </si>
  <si>
    <t>941 0801 4420000 000 000</t>
  </si>
  <si>
    <t>941 0801 4429900 000 000</t>
  </si>
  <si>
    <t>941 0801 4429900 019 000</t>
  </si>
  <si>
    <t>941 0801 4429900 019 200</t>
  </si>
  <si>
    <t>941 0801 4429900 019 240</t>
  </si>
  <si>
    <t>941 0801 4429900 019 241</t>
  </si>
  <si>
    <t>941 1100 0000000 000 000</t>
  </si>
  <si>
    <t>941 1101 0000000 000 000</t>
  </si>
  <si>
    <t>941 1101 4820000 000 000</t>
  </si>
  <si>
    <t>941 1101 4829900 000 000</t>
  </si>
  <si>
    <t>941 1101 4829900 019 000</t>
  </si>
  <si>
    <t>941 1101 4829900 019 200</t>
  </si>
  <si>
    <t>941 1101 4829900 019 240</t>
  </si>
  <si>
    <t>941 1101 4829900 019 241</t>
  </si>
  <si>
    <t>951 0103 5210000 000 000</t>
  </si>
  <si>
    <t>951 0103 5210600 000 000</t>
  </si>
  <si>
    <t>951 0103 5210600 017 000</t>
  </si>
  <si>
    <t>951 0103 5210600 017 200</t>
  </si>
  <si>
    <t>951 0103 5210600 017 250</t>
  </si>
  <si>
    <t>951 0103 5210600 017 251</t>
  </si>
  <si>
    <t>951 0103 0000000 000 000</t>
  </si>
  <si>
    <t>*</t>
  </si>
  <si>
    <t>941 0409 3150300 500 300</t>
  </si>
  <si>
    <t>941 0409 3150300 500 340</t>
  </si>
  <si>
    <t>941 0501 3500200 500 340</t>
  </si>
  <si>
    <t>941 0501 3500300 500 310</t>
  </si>
  <si>
    <t>941 0501 3500200 500 300</t>
  </si>
  <si>
    <t>941 0801 4400100 000 000</t>
  </si>
  <si>
    <t>941 0801 4400100 500 000</t>
  </si>
  <si>
    <t>941 0801 4400100 500 300</t>
  </si>
  <si>
    <t>941 0801 4400100 500 340</t>
  </si>
  <si>
    <t>941 0503 6000200 000 000</t>
  </si>
  <si>
    <t>Содержание и уборка территорий улиц, площадей и тротуаров(за исключением придомовых территорий)</t>
  </si>
  <si>
    <t>941 0503 6000200 500 000</t>
  </si>
  <si>
    <t>941 0503 6000200 500 200</t>
  </si>
  <si>
    <t>941 0503 6000200 500 220</t>
  </si>
  <si>
    <t>941 0503 6000200 500 225</t>
  </si>
  <si>
    <t>941 0104 5210200 000 000</t>
  </si>
  <si>
    <t>941 0104 5210202 500 000</t>
  </si>
  <si>
    <t>941 0104 5210202 500 200</t>
  </si>
  <si>
    <t>941 0104 5210202 500 300</t>
  </si>
  <si>
    <t>941 0104 5210202 500 211</t>
  </si>
  <si>
    <t>941 0104 5210202 500 212</t>
  </si>
  <si>
    <t>941 0104 5210202 500 213</t>
  </si>
  <si>
    <t>941 0104 5210202 500 221</t>
  </si>
  <si>
    <t>941 0104 5210202 500 222</t>
  </si>
  <si>
    <t>941 0104 5210202 500 225</t>
  </si>
  <si>
    <t>941 0104 5210202 500 226</t>
  </si>
  <si>
    <t>941 0104 5210202 500 310</t>
  </si>
  <si>
    <t>941 0104 5210202 500 340</t>
  </si>
  <si>
    <t>941 0104 5210202 500 210</t>
  </si>
  <si>
    <t>941 0104 5210202 500 220</t>
  </si>
  <si>
    <t>941 0104 5210202 000 000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</si>
  <si>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</si>
  <si>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941 0409 3150300 500 226</t>
  </si>
  <si>
    <t>941 0104 0020400 500 262</t>
  </si>
  <si>
    <t>941 0104 0020400 500 260</t>
  </si>
  <si>
    <t>941 0502 1020000 000 000</t>
  </si>
  <si>
    <t>941 0502 1020102 000 000</t>
  </si>
  <si>
    <t xml:space="preserve">Бюджетные инвестиции в объекты капитального строительства собственности муниципальных образований </t>
  </si>
  <si>
    <t>941 0502 1020102 003 000</t>
  </si>
  <si>
    <t>941 0502 1020102 003 300</t>
  </si>
  <si>
    <t>941 0502 1020102 003 310</t>
  </si>
  <si>
    <t>Мероприятия в сфере культуры и кинематографии</t>
  </si>
  <si>
    <t>Учреждения культуры и мероприятия в сфере культуры и кинематографии</t>
  </si>
  <si>
    <t>941 0801 4400100 500 200</t>
  </si>
  <si>
    <t>941 0801 4400100 500 220</t>
  </si>
  <si>
    <t>941 0801 4400100 500 226</t>
  </si>
  <si>
    <t>941 0801 4400100 500 290</t>
  </si>
  <si>
    <t>941 0801 5220000 000 000</t>
  </si>
  <si>
    <t>Долгосрочная целевая программа "Развитие информационного общества Ленинградской области на 2011-2013 г.г."</t>
  </si>
  <si>
    <t>941 0801 5220400 000 000</t>
  </si>
  <si>
    <t>941 0801 5220400 019 000</t>
  </si>
  <si>
    <t>941 0801 5220400 019 200</t>
  </si>
  <si>
    <t>941 0801 5220400 019 240</t>
  </si>
  <si>
    <t>941 0801 5220400 019 241</t>
  </si>
  <si>
    <t>941 0104 0020800 500 262</t>
  </si>
  <si>
    <t>941 0104 0020800 500 260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</si>
  <si>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</si>
  <si>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</si>
  <si>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941 0502 7950000 000 000 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</si>
  <si>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</t>
  </si>
  <si>
    <t xml:space="preserve">941 0502 7956206 000 000 </t>
  </si>
  <si>
    <t xml:space="preserve">941 0502 7956206 500 000 </t>
  </si>
  <si>
    <t>941 0502 7956206 500 300</t>
  </si>
  <si>
    <t>941 0502 7956206 500 310</t>
  </si>
  <si>
    <t>Увеличение прочих остатков денежных средств бюджетов</t>
  </si>
  <si>
    <t>941 0310 7956207 500 000</t>
  </si>
  <si>
    <t>941 0310 7956207 500 200</t>
  </si>
  <si>
    <t>941 0310 7956207 500 220</t>
  </si>
  <si>
    <t>941 0310 7956207 500 225</t>
  </si>
  <si>
    <t>941 0310 7956207 500 226</t>
  </si>
  <si>
    <t>941 0310 7956207 500 300</t>
  </si>
  <si>
    <t>941 0310 7956207 500 310</t>
  </si>
  <si>
    <t>941 0310 7956207 500 340</t>
  </si>
  <si>
    <t>941 0310 7950000 000 000</t>
  </si>
  <si>
    <t>941 0310 7956200 000 000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</si>
  <si>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</si>
  <si>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941 0310 795207 000 000</t>
  </si>
  <si>
    <t>941 0801 5210136 019 000</t>
  </si>
  <si>
    <t>941 0801 5210136 019 200</t>
  </si>
  <si>
    <t>941 0801 5210136 019 240</t>
  </si>
  <si>
    <t>941 0801 5210136 019 241</t>
  </si>
  <si>
    <t>941 0801 5210000 000 000</t>
  </si>
  <si>
    <t>941 0801 5210136 000 000</t>
  </si>
  <si>
    <t>Обеспечение стимулирующих выплат основному персоналу муниципальных музеев и библиотек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</si>
  <si>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</si>
  <si>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941 0801 5220700 000 000</t>
  </si>
  <si>
    <t xml:space="preserve">941 0409 5220000 000 000 </t>
  </si>
  <si>
    <t xml:space="preserve">941 0409 5224000 000 000 </t>
  </si>
  <si>
    <t>941 0409 5224011 500 000</t>
  </si>
  <si>
    <t>941 0409 5224011 500 200</t>
  </si>
  <si>
    <t>941 0409 5224011 500 220</t>
  </si>
  <si>
    <t>941 0409 5224011 500 225</t>
  </si>
  <si>
    <t>941 0409 5224013 500 000</t>
  </si>
  <si>
    <t>941 0409 5224013 500 200</t>
  </si>
  <si>
    <t>941 0409 5224013 500 220</t>
  </si>
  <si>
    <t>941 0409 5224013 500 225</t>
  </si>
  <si>
    <t>Долгосрочные целевые программы</t>
  </si>
  <si>
    <t>Долгосрочная целевая программа "Совершенствование и развитие автомобильных дорог Ленинградской области на 2009-2020 годы"</t>
  </si>
  <si>
    <t>941 1003 5221702 322 200</t>
  </si>
  <si>
    <t>941 1003 5221702 322 260</t>
  </si>
  <si>
    <t>941 1003 5221702 322 262</t>
  </si>
  <si>
    <t>941 1003 5220000 000 000</t>
  </si>
  <si>
    <t>941 1003 5221700 000 000</t>
  </si>
  <si>
    <t>Долгосрочная целевая программа "Жилье для молодёжи на 2012-2015 годы"</t>
  </si>
  <si>
    <t>941 0113 0920399 500 000</t>
  </si>
  <si>
    <t>941 0113 0920399 500 200</t>
  </si>
  <si>
    <t>941 0113 0920399 500 220</t>
  </si>
  <si>
    <t>941 0113 0920399 500 226</t>
  </si>
  <si>
    <t>941 0113 0920399 500 290</t>
  </si>
  <si>
    <t>Прочие общегосударственные вопросы</t>
  </si>
  <si>
    <t>941 0113 0920399 000 000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</si>
  <si>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</si>
  <si>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</si>
  <si>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941 0113 7956200 000 000</t>
  </si>
  <si>
    <t>941 0113 7956205 000 000</t>
  </si>
  <si>
    <t>941 0113 7956205 500 000</t>
  </si>
  <si>
    <t>941 0113 7956205 500 200</t>
  </si>
  <si>
    <t>941 0113 7956205 500 220</t>
  </si>
  <si>
    <t>941 0113 7956205 500 226</t>
  </si>
  <si>
    <t>941 0503 6000400 500 300</t>
  </si>
  <si>
    <t>941 0503 6000400 500 340</t>
  </si>
  <si>
    <t>Учреждения в сфере культуры</t>
  </si>
  <si>
    <t>941 0801 4409900 500 000</t>
  </si>
  <si>
    <t>941 0801 4409900 500 200</t>
  </si>
  <si>
    <t>941 0801 4409900 500 220</t>
  </si>
  <si>
    <t>941 0801 4409900 500 226</t>
  </si>
  <si>
    <t>951 0103 0020000 000 000</t>
  </si>
  <si>
    <t>951 0103 0020400 000 000</t>
  </si>
  <si>
    <t>951 0103 0020400 500 000</t>
  </si>
  <si>
    <t>951 0103 0020400 500 200</t>
  </si>
  <si>
    <t>951 0103 0020400 500 290</t>
  </si>
  <si>
    <t>Субсидии бюджетным и автономным учреждениям на приобретение оборудования и проведение капитального ремонта</t>
  </si>
  <si>
    <t>941 0801 8000000 000 000</t>
  </si>
  <si>
    <t>941 0801 8000000 019 000</t>
  </si>
  <si>
    <t>941 0801 8000000 019 200</t>
  </si>
  <si>
    <t>941 0801 8000000 019 240</t>
  </si>
  <si>
    <t>941 0801 8000000 019 241</t>
  </si>
  <si>
    <t>941 0801 5220700 500 000</t>
  </si>
  <si>
    <t>941 0801 5220700 500 200</t>
  </si>
  <si>
    <t>Изменение остатков средств - всего</t>
  </si>
  <si>
    <t>000.01000000000000.000</t>
  </si>
  <si>
    <t>000 2 02 02000 00 0000 151</t>
  </si>
  <si>
    <t>000 2 02 02999 00 0000 151</t>
  </si>
  <si>
    <t>Субвенции бюджетам субъектов Российской Федерации и муниципальных образований</t>
  </si>
  <si>
    <t>000 2 02 03000 00 0000 151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</si>
  <si>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</si>
  <si>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Земельный налог (по обязательствам, возникшим до 1 января 2006 года), мобилизуемый на территории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</si>
  <si>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</si>
  <si>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</si>
  <si>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</si>
  <si>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</si>
  <si>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Транспортный налог</t>
  </si>
  <si>
    <t>Земельный налог</t>
  </si>
  <si>
    <t>000 1 08 04000 01 0000 110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</si>
  <si>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</si>
  <si>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</si>
  <si>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</si>
  <si>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</si>
  <si>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</si>
  <si>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</si>
  <si>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</si>
  <si>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</si>
  <si>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</si>
  <si>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 передаваемых полномочий субъектов Российской Федерации</t>
  </si>
  <si>
    <t>000 2 02 03024 00 0000 151</t>
  </si>
  <si>
    <t>Прочие безвозмездные поступления в бюджеты поселений</t>
  </si>
  <si>
    <t>НДФЛ с доходов, полученных в виде дивидентов от долевого участия в деятельности организаций</t>
  </si>
  <si>
    <t>000 1 01 02010 01 0000 110</t>
  </si>
  <si>
    <t>НДФЛ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, адвокатов, учредивших адвокатские кабинеты, и других лиц</t>
  </si>
  <si>
    <t>000 1 01 02020 01 0000 110</t>
  </si>
  <si>
    <t>НДФЛ с доходов, полученных физическими лицами, не являющимися налоговыми резидентами РФ</t>
  </si>
  <si>
    <t>000 1 01 02030 01 0000 110</t>
  </si>
  <si>
    <t>000 1 06 01030 10 0000 000</t>
  </si>
  <si>
    <t>Транспортный налог с организаций</t>
  </si>
  <si>
    <t>Транспортный налог с физических лиц</t>
  </si>
  <si>
    <t>000 1 06 04012 02 0000 110</t>
  </si>
  <si>
    <t>000 1 06 04012 00 0000 110</t>
  </si>
  <si>
    <t>000 1 06 04011 02 0000 110</t>
  </si>
  <si>
    <t>000 1 06 04011 00 0000 110</t>
  </si>
  <si>
    <t>Земельный налог, взимаемый по ставкам, установленным в соответствии с подпунктом 1 пункта 1 статьи 394 НК РФ и применяемых к объектам налогообложения, расположенных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</si>
  <si>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</si>
  <si>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НК РФ и применяемых к объектам налогообложения, расположенных в границах поселений</t>
  </si>
  <si>
    <t>000 1 06 06023 10 0000 110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</si>
  <si>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</si>
  <si>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</si>
  <si>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</si>
  <si>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</si>
  <si>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</si>
  <si>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</si>
  <si>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</si>
  <si>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</si>
  <si>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</si>
  <si>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000 1 14 06013 10 0000 430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</si>
  <si>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</si>
  <si>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</si>
  <si>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</si>
  <si>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</si>
  <si>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</si>
  <si>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</si>
  <si>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000 1 14 02000 00 0000 000</t>
  </si>
  <si>
    <t>941 0801 5220700 500 225</t>
  </si>
  <si>
    <t>941 0801 5220700 500 220</t>
  </si>
  <si>
    <t>Обслуживание  государственного внутреннего и муниципального долга</t>
  </si>
  <si>
    <t>000 2 07 00000 00 0000 180</t>
  </si>
  <si>
    <t>000 1 05 03000 01 0000 110</t>
  </si>
  <si>
    <t>Глава администрации                                          Коротун Ю.М.</t>
  </si>
  <si>
    <t>Главный бухгалтер                                               Потупко И.А.</t>
  </si>
  <si>
    <t>14 января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</si>
</sst>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distributed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distributed" wrapText="1"/>
    </xf>
    <xf numFmtId="49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7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4" fillId="24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2" fillId="0" borderId="11" xfId="0" applyNumberFormat="1" applyFont="1" applyFill="1" applyBorder="1" applyAlignment="1">
      <alignment wrapText="1"/>
    </xf>
    <xf numFmtId="4" fontId="8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17" borderId="0" xfId="0" applyFont="1" applyFill="1" applyAlignment="1">
      <alignment/>
    </xf>
    <xf numFmtId="49" fontId="37" fillId="0" borderId="11" xfId="0" applyNumberFormat="1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25">
      <selection activeCell="C42" sqref="C42"/>
    </sheetView>
  </sheetViews>
  <sheetFormatPr defaultColWidth="9.00390625" defaultRowHeight="12.75"/>
  <cols>
    <col min="1" max="1" width="39.875" style="0" customWidth="1"/>
    <col min="2" max="2" width="6.25390625" style="0" customWidth="1"/>
    <col min="3" max="3" width="21.875" style="0" customWidth="1"/>
    <col min="4" max="4" width="12.75390625" style="0" customWidth="1"/>
    <col min="5" max="5" width="11.875" style="0" customWidth="1"/>
    <col min="6" max="6" width="12.375" style="0" customWidth="1"/>
    <col min="8" max="8" width="12.75390625" style="0" bestFit="1" customWidth="1"/>
  </cols>
  <sheetData>
    <row r="1" spans="4:6" ht="12.75">
      <c r="D1" s="150"/>
      <c r="E1" s="150"/>
      <c r="F1" s="150"/>
    </row>
    <row r="2" spans="4:6" ht="12.75">
      <c r="D2" s="150"/>
      <c r="E2" s="150"/>
      <c r="F2" s="150"/>
    </row>
    <row r="3" spans="4:6" ht="12.75">
      <c r="D3" s="150"/>
      <c r="E3" s="150"/>
      <c r="F3" s="150"/>
    </row>
    <row r="4" spans="4:6" ht="12.75">
      <c r="D4" s="150"/>
      <c r="E4" s="150"/>
      <c r="F4" s="150"/>
    </row>
    <row r="5" spans="4:6" ht="12.75">
      <c r="D5" s="149"/>
      <c r="E5" s="149"/>
      <c r="F5" s="149"/>
    </row>
    <row r="6" spans="1:6" ht="12.75">
      <c r="A6" s="146" t="s">
        <v>148</v>
      </c>
      <c r="B6" s="146"/>
      <c r="C6" s="146"/>
      <c r="D6" s="146"/>
      <c r="E6" s="146"/>
      <c r="F6" s="5" t="s">
        <v>155</v>
      </c>
    </row>
    <row r="7" spans="1:6" ht="12.75">
      <c r="A7" s="7"/>
      <c r="B7" s="146"/>
      <c r="C7" s="146"/>
      <c r="D7" s="7"/>
      <c r="E7" s="8" t="s">
        <v>199</v>
      </c>
      <c r="F7" s="15" t="s">
        <v>191</v>
      </c>
    </row>
    <row r="8" spans="1:6" ht="12.75">
      <c r="A8" s="27"/>
      <c r="B8" s="142" t="s">
        <v>0</v>
      </c>
      <c r="C8" s="142"/>
      <c r="D8" s="27"/>
      <c r="E8" s="28" t="s">
        <v>156</v>
      </c>
      <c r="F8" s="77">
        <v>41275</v>
      </c>
    </row>
    <row r="9" spans="1:6" ht="12.75">
      <c r="A9" s="143" t="s">
        <v>160</v>
      </c>
      <c r="B9" s="143"/>
      <c r="C9" s="143"/>
      <c r="D9" s="143"/>
      <c r="E9" s="28" t="s">
        <v>157</v>
      </c>
      <c r="F9" s="5">
        <v>70634157</v>
      </c>
    </row>
    <row r="10" spans="1:6" ht="12.75">
      <c r="A10" s="144" t="s">
        <v>426</v>
      </c>
      <c r="B10" s="145"/>
      <c r="C10" s="145"/>
      <c r="D10" s="145"/>
      <c r="E10" s="28" t="s">
        <v>200</v>
      </c>
      <c r="F10" s="5">
        <v>941</v>
      </c>
    </row>
    <row r="11" spans="1:6" ht="12.75">
      <c r="A11" s="143" t="s">
        <v>159</v>
      </c>
      <c r="B11" s="143"/>
      <c r="C11" s="143"/>
      <c r="D11" s="143"/>
      <c r="E11" s="28" t="s">
        <v>158</v>
      </c>
      <c r="F11" s="5">
        <v>41215508000</v>
      </c>
    </row>
    <row r="12" spans="1:6" ht="12.75">
      <c r="A12" s="147" t="s">
        <v>193</v>
      </c>
      <c r="B12" s="148"/>
      <c r="C12" s="148"/>
      <c r="D12" s="148"/>
      <c r="E12" s="4"/>
      <c r="F12" s="5"/>
    </row>
    <row r="13" spans="1:6" ht="12.75">
      <c r="A13" s="147" t="s">
        <v>194</v>
      </c>
      <c r="B13" s="148"/>
      <c r="C13" s="148"/>
      <c r="D13" s="148"/>
      <c r="E13" s="4"/>
      <c r="F13" s="5">
        <v>383</v>
      </c>
    </row>
    <row r="14" spans="1:6" ht="12.75">
      <c r="A14" s="140" t="s">
        <v>201</v>
      </c>
      <c r="B14" s="140"/>
      <c r="C14" s="140"/>
      <c r="D14" s="140"/>
      <c r="E14" s="140"/>
      <c r="F14" s="140"/>
    </row>
    <row r="15" spans="1:6" ht="12.75">
      <c r="A15" s="141"/>
      <c r="B15" s="141"/>
      <c r="C15" s="141"/>
      <c r="D15" s="141"/>
      <c r="E15" s="141"/>
      <c r="F15" s="141"/>
    </row>
    <row r="16" spans="1:6" ht="33.75">
      <c r="A16" s="61"/>
      <c r="B16" s="29" t="s">
        <v>154</v>
      </c>
      <c r="C16" s="34" t="s">
        <v>421</v>
      </c>
      <c r="D16" s="102" t="s">
        <v>187</v>
      </c>
      <c r="E16" s="29" t="s">
        <v>149</v>
      </c>
      <c r="F16" s="102" t="s">
        <v>188</v>
      </c>
    </row>
    <row r="17" spans="1:6" ht="12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</row>
    <row r="18" spans="1:6" ht="12.75">
      <c r="A18" s="103" t="s">
        <v>198</v>
      </c>
      <c r="B18" s="105"/>
      <c r="C18" s="56" t="s">
        <v>205</v>
      </c>
      <c r="D18" s="3">
        <f>SUM(D19+D43)</f>
        <v>66352800</v>
      </c>
      <c r="E18" s="3">
        <f>SUM(E19+E43)</f>
        <v>69897864.23</v>
      </c>
      <c r="F18" s="3">
        <f>SUM(F19+F43)</f>
        <v>-3545064.230000008</v>
      </c>
    </row>
    <row r="19" spans="1:6" ht="12.75">
      <c r="A19" s="103" t="s">
        <v>151</v>
      </c>
      <c r="B19" s="61"/>
      <c r="C19" s="106"/>
      <c r="D19" s="60">
        <f>D20+D25+D27+D38</f>
        <v>44589500</v>
      </c>
      <c r="E19" s="60">
        <f>E20+E25+E27+E38+E40</f>
        <v>45786951.29000001</v>
      </c>
      <c r="F19" s="60">
        <f aca="true" t="shared" si="0" ref="F19:F37">SUM(D19-E19)</f>
        <v>-1197451.2900000066</v>
      </c>
    </row>
    <row r="20" spans="1:6" ht="12.75">
      <c r="A20" s="103" t="s">
        <v>141</v>
      </c>
      <c r="B20" s="106"/>
      <c r="C20" s="106" t="s">
        <v>206</v>
      </c>
      <c r="D20" s="60">
        <f>D21</f>
        <v>22125000</v>
      </c>
      <c r="E20" s="60">
        <f>E21</f>
        <v>22228333.440000005</v>
      </c>
      <c r="F20" s="60">
        <f t="shared" si="0"/>
        <v>-103333.44000000507</v>
      </c>
    </row>
    <row r="21" spans="1:6" ht="12.75">
      <c r="A21" s="103" t="s">
        <v>153</v>
      </c>
      <c r="B21" s="108"/>
      <c r="C21" s="106" t="s">
        <v>207</v>
      </c>
      <c r="D21" s="60">
        <v>22125000</v>
      </c>
      <c r="E21" s="60">
        <f>E22+E23+E24</f>
        <v>22228333.440000005</v>
      </c>
      <c r="F21" s="60">
        <f t="shared" si="0"/>
        <v>-103333.44000000507</v>
      </c>
    </row>
    <row r="22" spans="1:6" ht="22.5">
      <c r="A22" s="104" t="s">
        <v>688</v>
      </c>
      <c r="B22" s="107"/>
      <c r="C22" s="61" t="s">
        <v>689</v>
      </c>
      <c r="D22" s="62"/>
      <c r="E22" s="62">
        <f>22084883.89+70119.98+28132.6-156</f>
        <v>22182980.470000003</v>
      </c>
      <c r="F22" s="62">
        <f t="shared" si="0"/>
        <v>-22182980.470000003</v>
      </c>
    </row>
    <row r="23" spans="1:6" ht="67.5">
      <c r="A23" s="104" t="s">
        <v>690</v>
      </c>
      <c r="B23" s="107"/>
      <c r="C23" s="61" t="s">
        <v>691</v>
      </c>
      <c r="D23" s="62"/>
      <c r="E23" s="62">
        <f>5790.98+90.43+358.26</f>
        <v>6239.67</v>
      </c>
      <c r="F23" s="62">
        <f t="shared" si="0"/>
        <v>-6239.67</v>
      </c>
    </row>
    <row r="24" spans="1:6" ht="33.75">
      <c r="A24" s="104" t="s">
        <v>692</v>
      </c>
      <c r="B24" s="107"/>
      <c r="C24" s="61" t="s">
        <v>693</v>
      </c>
      <c r="D24" s="62"/>
      <c r="E24" s="62">
        <f>37903.1+10.2+1200</f>
        <v>39113.299999999996</v>
      </c>
      <c r="F24" s="62">
        <f t="shared" si="0"/>
        <v>-39113.299999999996</v>
      </c>
    </row>
    <row r="25" spans="1:6" ht="12.75">
      <c r="A25" s="103" t="s">
        <v>142</v>
      </c>
      <c r="B25" s="106"/>
      <c r="C25" s="90" t="s">
        <v>208</v>
      </c>
      <c r="D25" s="60">
        <f>D26</f>
        <v>145000</v>
      </c>
      <c r="E25" s="60">
        <f>E26</f>
        <v>147172.55</v>
      </c>
      <c r="F25" s="60">
        <f t="shared" si="0"/>
        <v>-2172.5499999999884</v>
      </c>
    </row>
    <row r="26" spans="1:6" ht="12.75">
      <c r="A26" s="104" t="s">
        <v>144</v>
      </c>
      <c r="B26" s="61"/>
      <c r="C26" s="61" t="s">
        <v>726</v>
      </c>
      <c r="D26" s="62">
        <v>145000</v>
      </c>
      <c r="E26" s="62">
        <v>147172.55</v>
      </c>
      <c r="F26" s="62">
        <f t="shared" si="0"/>
        <v>-2172.5499999999884</v>
      </c>
    </row>
    <row r="27" spans="1:6" ht="12.75">
      <c r="A27" s="103" t="s">
        <v>143</v>
      </c>
      <c r="B27" s="106"/>
      <c r="C27" s="90" t="s">
        <v>209</v>
      </c>
      <c r="D27" s="60">
        <f>D28+D30+D35</f>
        <v>22264500</v>
      </c>
      <c r="E27" s="60">
        <f>E28+E30+E35</f>
        <v>23342225.37</v>
      </c>
      <c r="F27" s="60">
        <f t="shared" si="0"/>
        <v>-1077725.370000001</v>
      </c>
    </row>
    <row r="28" spans="1:6" ht="12.75">
      <c r="A28" s="103" t="s">
        <v>422</v>
      </c>
      <c r="B28" s="106"/>
      <c r="C28" s="90" t="s">
        <v>460</v>
      </c>
      <c r="D28" s="60">
        <v>1832400</v>
      </c>
      <c r="E28" s="60">
        <f>E29</f>
        <v>2125128.2800000003</v>
      </c>
      <c r="F28" s="60">
        <f t="shared" si="0"/>
        <v>-292728.28000000026</v>
      </c>
    </row>
    <row r="29" spans="1:6" ht="12.75">
      <c r="A29" s="104" t="s">
        <v>422</v>
      </c>
      <c r="B29" s="61"/>
      <c r="C29" s="63" t="s">
        <v>694</v>
      </c>
      <c r="D29" s="62"/>
      <c r="E29" s="62">
        <f>2092188.37+32939.91</f>
        <v>2125128.2800000003</v>
      </c>
      <c r="F29" s="62">
        <f t="shared" si="0"/>
        <v>-2125128.2800000003</v>
      </c>
    </row>
    <row r="30" spans="1:6" ht="12.75">
      <c r="A30" s="103" t="s">
        <v>673</v>
      </c>
      <c r="B30" s="106"/>
      <c r="C30" s="108" t="s">
        <v>26</v>
      </c>
      <c r="D30" s="60">
        <v>5725100</v>
      </c>
      <c r="E30" s="60">
        <f>E31+E33</f>
        <v>6075743.09</v>
      </c>
      <c r="F30" s="60">
        <f t="shared" si="0"/>
        <v>-350643.08999999985</v>
      </c>
    </row>
    <row r="31" spans="1:6" ht="12.75">
      <c r="A31" s="103" t="s">
        <v>695</v>
      </c>
      <c r="B31" s="106"/>
      <c r="C31" s="108" t="s">
        <v>700</v>
      </c>
      <c r="D31" s="60"/>
      <c r="E31" s="60">
        <f>E32</f>
        <v>1897096.7699999998</v>
      </c>
      <c r="F31" s="60">
        <f t="shared" si="0"/>
        <v>-1897096.7699999998</v>
      </c>
    </row>
    <row r="32" spans="1:6" ht="12.75">
      <c r="A32" s="104" t="s">
        <v>695</v>
      </c>
      <c r="B32" s="61"/>
      <c r="C32" s="107" t="s">
        <v>699</v>
      </c>
      <c r="D32" s="62"/>
      <c r="E32" s="62">
        <f>1881933.91+4065.93+11096.93</f>
        <v>1897096.7699999998</v>
      </c>
      <c r="F32" s="62">
        <f t="shared" si="0"/>
        <v>-1897096.7699999998</v>
      </c>
    </row>
    <row r="33" spans="1:6" ht="12.75">
      <c r="A33" s="103" t="s">
        <v>696</v>
      </c>
      <c r="B33" s="106"/>
      <c r="C33" s="108" t="s">
        <v>698</v>
      </c>
      <c r="D33" s="60"/>
      <c r="E33" s="60">
        <f>E34</f>
        <v>4178646.32</v>
      </c>
      <c r="F33" s="60">
        <f t="shared" si="0"/>
        <v>-4178646.32</v>
      </c>
    </row>
    <row r="34" spans="1:6" ht="12.75">
      <c r="A34" s="104" t="s">
        <v>696</v>
      </c>
      <c r="B34" s="61"/>
      <c r="C34" s="107" t="s">
        <v>697</v>
      </c>
      <c r="D34" s="62"/>
      <c r="E34" s="62">
        <f>4106297.76+71848.56+500</f>
        <v>4178646.32</v>
      </c>
      <c r="F34" s="62">
        <f t="shared" si="0"/>
        <v>-4178646.32</v>
      </c>
    </row>
    <row r="35" spans="1:6" ht="12.75">
      <c r="A35" s="103" t="s">
        <v>674</v>
      </c>
      <c r="B35" s="108"/>
      <c r="C35" s="90" t="s">
        <v>423</v>
      </c>
      <c r="D35" s="60">
        <v>14707000</v>
      </c>
      <c r="E35" s="60">
        <f>E36+E37</f>
        <v>15141354</v>
      </c>
      <c r="F35" s="60">
        <f t="shared" si="0"/>
        <v>-434354</v>
      </c>
    </row>
    <row r="36" spans="1:6" ht="56.25">
      <c r="A36" s="104" t="s">
        <v>701</v>
      </c>
      <c r="B36" s="107"/>
      <c r="C36" s="63" t="s">
        <v>702</v>
      </c>
      <c r="D36" s="62"/>
      <c r="E36" s="62">
        <f>6964662.33+53147.43+4000</f>
        <v>7021809.76</v>
      </c>
      <c r="F36" s="62">
        <f t="shared" si="0"/>
        <v>-7021809.76</v>
      </c>
    </row>
    <row r="37" spans="1:6" ht="56.25">
      <c r="A37" s="104" t="s">
        <v>703</v>
      </c>
      <c r="B37" s="107"/>
      <c r="C37" s="63" t="s">
        <v>704</v>
      </c>
      <c r="D37" s="62"/>
      <c r="E37" s="62">
        <f>8062971.79+15112.45+41460</f>
        <v>8119544.24</v>
      </c>
      <c r="F37" s="62">
        <f t="shared" si="0"/>
        <v>-8119544.24</v>
      </c>
    </row>
    <row r="38" spans="1:6" ht="12.75">
      <c r="A38" s="103" t="s">
        <v>147</v>
      </c>
      <c r="B38" s="61"/>
      <c r="C38" s="106" t="s">
        <v>210</v>
      </c>
      <c r="D38" s="60">
        <v>55000</v>
      </c>
      <c r="E38" s="60">
        <f>E39</f>
        <v>69195</v>
      </c>
      <c r="F38" s="60">
        <f aca="true" t="shared" si="1" ref="F38:F61">SUM(D38-E38)</f>
        <v>-14195</v>
      </c>
    </row>
    <row r="39" spans="1:6" ht="45">
      <c r="A39" s="104" t="s">
        <v>667</v>
      </c>
      <c r="B39" s="61"/>
      <c r="C39" s="107" t="s">
        <v>675</v>
      </c>
      <c r="D39" s="62"/>
      <c r="E39" s="62">
        <v>69195</v>
      </c>
      <c r="F39" s="62">
        <f t="shared" si="1"/>
        <v>-69195</v>
      </c>
    </row>
    <row r="40" spans="1:6" ht="33.75">
      <c r="A40" s="103" t="s">
        <v>425</v>
      </c>
      <c r="B40" s="108"/>
      <c r="C40" s="108" t="s">
        <v>211</v>
      </c>
      <c r="D40" s="60">
        <f>D41</f>
        <v>0</v>
      </c>
      <c r="E40" s="109">
        <f>E41</f>
        <v>24.93</v>
      </c>
      <c r="F40" s="60">
        <f t="shared" si="1"/>
        <v>-24.93</v>
      </c>
    </row>
    <row r="41" spans="1:6" ht="33.75">
      <c r="A41" s="104" t="s">
        <v>668</v>
      </c>
      <c r="B41" s="107"/>
      <c r="C41" s="107" t="s">
        <v>217</v>
      </c>
      <c r="D41" s="62"/>
      <c r="E41" s="62">
        <v>24.93</v>
      </c>
      <c r="F41" s="62">
        <f t="shared" si="1"/>
        <v>-24.93</v>
      </c>
    </row>
    <row r="42" spans="1:6" ht="12.75">
      <c r="A42" s="104"/>
      <c r="B42" s="107"/>
      <c r="C42" s="107"/>
      <c r="D42" s="62"/>
      <c r="E42" s="62"/>
      <c r="F42" s="62"/>
    </row>
    <row r="43" spans="1:6" ht="12.75">
      <c r="A43" s="103" t="s">
        <v>152</v>
      </c>
      <c r="B43" s="61"/>
      <c r="C43" s="110"/>
      <c r="D43" s="60">
        <f>D44+D50+D55</f>
        <v>21763300</v>
      </c>
      <c r="E43" s="60">
        <f>E44+E50+E55</f>
        <v>24110912.94</v>
      </c>
      <c r="F43" s="60">
        <f t="shared" si="1"/>
        <v>-2347612.9400000013</v>
      </c>
    </row>
    <row r="44" spans="1:6" ht="33.75">
      <c r="A44" s="103" t="s">
        <v>190</v>
      </c>
      <c r="B44" s="108"/>
      <c r="C44" s="108" t="s">
        <v>216</v>
      </c>
      <c r="D44" s="60">
        <f>D45+D48</f>
        <v>19283300</v>
      </c>
      <c r="E44" s="60">
        <f>E45+E48</f>
        <v>19752942.700000003</v>
      </c>
      <c r="F44" s="60">
        <f t="shared" si="1"/>
        <v>-469642.700000003</v>
      </c>
    </row>
    <row r="45" spans="1:6" ht="90">
      <c r="A45" s="103" t="s">
        <v>669</v>
      </c>
      <c r="B45" s="108"/>
      <c r="C45" s="108" t="s">
        <v>670</v>
      </c>
      <c r="D45" s="60">
        <v>18331000</v>
      </c>
      <c r="E45" s="60">
        <f>E46+E47</f>
        <v>18744407.630000003</v>
      </c>
      <c r="F45" s="60">
        <f t="shared" si="1"/>
        <v>-413407.6300000027</v>
      </c>
    </row>
    <row r="46" spans="1:6" ht="67.5">
      <c r="A46" s="104" t="s">
        <v>705</v>
      </c>
      <c r="B46" s="107"/>
      <c r="C46" s="107" t="s">
        <v>706</v>
      </c>
      <c r="D46" s="62"/>
      <c r="E46" s="62">
        <v>18736352.53</v>
      </c>
      <c r="F46" s="62">
        <f t="shared" si="1"/>
        <v>-18736352.53</v>
      </c>
    </row>
    <row r="47" spans="1:6" ht="56.25">
      <c r="A47" s="104" t="s">
        <v>707</v>
      </c>
      <c r="B47" s="107"/>
      <c r="C47" s="107" t="s">
        <v>708</v>
      </c>
      <c r="D47" s="62"/>
      <c r="E47" s="62">
        <v>8055.1</v>
      </c>
      <c r="F47" s="62">
        <f t="shared" si="1"/>
        <v>-8055.1</v>
      </c>
    </row>
    <row r="48" spans="1:6" ht="78.75">
      <c r="A48" s="103" t="s">
        <v>671</v>
      </c>
      <c r="B48" s="108"/>
      <c r="C48" s="106" t="s">
        <v>672</v>
      </c>
      <c r="D48" s="60">
        <v>952300</v>
      </c>
      <c r="E48" s="60">
        <f>E49</f>
        <v>1008535.07</v>
      </c>
      <c r="F48" s="60">
        <f t="shared" si="1"/>
        <v>-56235.06999999995</v>
      </c>
    </row>
    <row r="49" spans="1:6" ht="67.5">
      <c r="A49" s="104" t="s">
        <v>709</v>
      </c>
      <c r="B49" s="107"/>
      <c r="C49" s="61" t="s">
        <v>710</v>
      </c>
      <c r="D49" s="62"/>
      <c r="E49" s="62">
        <v>1008535.07</v>
      </c>
      <c r="F49" s="62">
        <f t="shared" si="1"/>
        <v>-1008535.07</v>
      </c>
    </row>
    <row r="50" spans="1:6" ht="22.5">
      <c r="A50" s="103" t="s">
        <v>192</v>
      </c>
      <c r="B50" s="111"/>
      <c r="C50" s="60" t="s">
        <v>215</v>
      </c>
      <c r="D50" s="60">
        <f>D51+D53</f>
        <v>2453000</v>
      </c>
      <c r="E50" s="60">
        <f>E51+E53</f>
        <v>3757651.66</v>
      </c>
      <c r="F50" s="60">
        <f t="shared" si="1"/>
        <v>-1304651.6600000001</v>
      </c>
    </row>
    <row r="51" spans="1:6" ht="78.75">
      <c r="A51" s="103" t="s">
        <v>676</v>
      </c>
      <c r="B51" s="111"/>
      <c r="C51" s="111" t="s">
        <v>721</v>
      </c>
      <c r="D51" s="60">
        <v>305000</v>
      </c>
      <c r="E51" s="60">
        <f>E52</f>
        <v>305000</v>
      </c>
      <c r="F51" s="60">
        <f t="shared" si="1"/>
        <v>0</v>
      </c>
    </row>
    <row r="52" spans="1:6" ht="67.5">
      <c r="A52" s="104" t="s">
        <v>711</v>
      </c>
      <c r="B52" s="112"/>
      <c r="C52" s="112" t="s">
        <v>712</v>
      </c>
      <c r="D52" s="62"/>
      <c r="E52" s="62">
        <v>305000</v>
      </c>
      <c r="F52" s="62">
        <f t="shared" si="1"/>
        <v>-305000</v>
      </c>
    </row>
    <row r="53" spans="1:6" ht="56.25">
      <c r="A53" s="103" t="s">
        <v>677</v>
      </c>
      <c r="B53" s="111"/>
      <c r="C53" s="111" t="s">
        <v>678</v>
      </c>
      <c r="D53" s="60">
        <v>2148000</v>
      </c>
      <c r="E53" s="60">
        <f>E54</f>
        <v>3452651.66</v>
      </c>
      <c r="F53" s="60">
        <f t="shared" si="1"/>
        <v>-1304651.6600000001</v>
      </c>
    </row>
    <row r="54" spans="1:6" ht="45">
      <c r="A54" s="104" t="s">
        <v>713</v>
      </c>
      <c r="B54" s="112"/>
      <c r="C54" s="112" t="s">
        <v>714</v>
      </c>
      <c r="D54" s="62"/>
      <c r="E54" s="62">
        <v>3452651.66</v>
      </c>
      <c r="F54" s="62">
        <f t="shared" si="1"/>
        <v>-3452651.66</v>
      </c>
    </row>
    <row r="55" spans="1:6" ht="12.75">
      <c r="A55" s="103" t="s">
        <v>145</v>
      </c>
      <c r="B55" s="60"/>
      <c r="C55" s="60" t="s">
        <v>214</v>
      </c>
      <c r="D55" s="60">
        <f>D56+D58</f>
        <v>27000</v>
      </c>
      <c r="E55" s="60">
        <f>E56+E58</f>
        <v>600318.58</v>
      </c>
      <c r="F55" s="60">
        <f t="shared" si="1"/>
        <v>-573318.58</v>
      </c>
    </row>
    <row r="56" spans="1:6" ht="12.75">
      <c r="A56" s="103" t="s">
        <v>679</v>
      </c>
      <c r="B56" s="60"/>
      <c r="C56" s="111" t="s">
        <v>680</v>
      </c>
      <c r="D56" s="60">
        <f>D57</f>
        <v>0</v>
      </c>
      <c r="E56" s="60">
        <f>E57</f>
        <v>567121.23</v>
      </c>
      <c r="F56" s="60">
        <f t="shared" si="1"/>
        <v>-567121.23</v>
      </c>
    </row>
    <row r="57" spans="1:6" ht="22.5">
      <c r="A57" s="104" t="s">
        <v>715</v>
      </c>
      <c r="B57" s="62"/>
      <c r="C57" s="112" t="s">
        <v>716</v>
      </c>
      <c r="D57" s="62"/>
      <c r="E57" s="62">
        <v>567121.23</v>
      </c>
      <c r="F57" s="62">
        <f t="shared" si="1"/>
        <v>-567121.23</v>
      </c>
    </row>
    <row r="58" spans="1:6" ht="12.75">
      <c r="A58" s="103" t="s">
        <v>681</v>
      </c>
      <c r="B58" s="111"/>
      <c r="C58" s="111" t="s">
        <v>682</v>
      </c>
      <c r="D58" s="60">
        <v>27000</v>
      </c>
      <c r="E58" s="60">
        <f>E59</f>
        <v>33197.35</v>
      </c>
      <c r="F58" s="60">
        <f t="shared" si="1"/>
        <v>-6197.3499999999985</v>
      </c>
    </row>
    <row r="59" spans="1:6" ht="12.75">
      <c r="A59" s="104" t="s">
        <v>717</v>
      </c>
      <c r="B59" s="112"/>
      <c r="C59" s="112" t="s">
        <v>718</v>
      </c>
      <c r="D59" s="62"/>
      <c r="E59" s="62">
        <v>33197.35</v>
      </c>
      <c r="F59" s="62">
        <f t="shared" si="1"/>
        <v>-33197.35</v>
      </c>
    </row>
    <row r="60" spans="1:6" ht="12.75">
      <c r="A60" s="103" t="s">
        <v>146</v>
      </c>
      <c r="B60" s="62"/>
      <c r="C60" s="113" t="s">
        <v>213</v>
      </c>
      <c r="D60" s="60">
        <f>D61+D68+D70</f>
        <v>7978184</v>
      </c>
      <c r="E60" s="60">
        <f>E61+E68+E70</f>
        <v>8699234</v>
      </c>
      <c r="F60" s="60">
        <f t="shared" si="1"/>
        <v>-721050</v>
      </c>
    </row>
    <row r="61" spans="1:6" ht="33.75">
      <c r="A61" s="103" t="s">
        <v>424</v>
      </c>
      <c r="B61" s="111"/>
      <c r="C61" s="60" t="s">
        <v>212</v>
      </c>
      <c r="D61" s="60">
        <f>D62+D65</f>
        <v>7775584</v>
      </c>
      <c r="E61" s="60">
        <f>E62+E65</f>
        <v>8496634</v>
      </c>
      <c r="F61" s="60">
        <f t="shared" si="1"/>
        <v>-721050</v>
      </c>
    </row>
    <row r="62" spans="1:6" ht="33.75">
      <c r="A62" s="103" t="s">
        <v>578</v>
      </c>
      <c r="B62" s="111"/>
      <c r="C62" s="60" t="s">
        <v>663</v>
      </c>
      <c r="D62" s="60">
        <f>D63+D64</f>
        <v>6947031</v>
      </c>
      <c r="E62" s="60">
        <f>E63+E64</f>
        <v>7668081</v>
      </c>
      <c r="F62" s="60">
        <f>D62-E62</f>
        <v>-721050</v>
      </c>
    </row>
    <row r="63" spans="1:6" ht="67.5">
      <c r="A63" s="104" t="s">
        <v>1</v>
      </c>
      <c r="B63" s="111"/>
      <c r="C63" s="62" t="s">
        <v>2</v>
      </c>
      <c r="D63" s="62">
        <v>0</v>
      </c>
      <c r="E63" s="62">
        <v>721050</v>
      </c>
      <c r="F63" s="62">
        <f>D63-E63</f>
        <v>-721050</v>
      </c>
    </row>
    <row r="64" spans="1:6" ht="12.75">
      <c r="A64" s="104" t="s">
        <v>579</v>
      </c>
      <c r="B64" s="112"/>
      <c r="C64" s="62" t="s">
        <v>664</v>
      </c>
      <c r="D64" s="62">
        <v>6947031</v>
      </c>
      <c r="E64" s="62">
        <v>6947031</v>
      </c>
      <c r="F64" s="62">
        <f>D64-E64</f>
        <v>0</v>
      </c>
    </row>
    <row r="65" spans="1:6" ht="22.5">
      <c r="A65" s="103" t="s">
        <v>665</v>
      </c>
      <c r="B65" s="111"/>
      <c r="C65" s="60" t="s">
        <v>666</v>
      </c>
      <c r="D65" s="60">
        <f>D66+D67</f>
        <v>828553</v>
      </c>
      <c r="E65" s="60">
        <f>E66+E67</f>
        <v>828553</v>
      </c>
      <c r="F65" s="60">
        <f>D65-E65</f>
        <v>0</v>
      </c>
    </row>
    <row r="66" spans="1:6" ht="33.75">
      <c r="A66" s="104" t="s">
        <v>683</v>
      </c>
      <c r="B66" s="112"/>
      <c r="C66" s="112" t="s">
        <v>684</v>
      </c>
      <c r="D66" s="62">
        <v>390243</v>
      </c>
      <c r="E66" s="62">
        <v>390243</v>
      </c>
      <c r="F66" s="62">
        <f>SUM(D66-E66)</f>
        <v>0</v>
      </c>
    </row>
    <row r="67" spans="1:6" ht="33.75">
      <c r="A67" s="104" t="s">
        <v>685</v>
      </c>
      <c r="B67" s="112"/>
      <c r="C67" s="112" t="s">
        <v>686</v>
      </c>
      <c r="D67" s="62">
        <v>438310</v>
      </c>
      <c r="E67" s="62">
        <v>438310</v>
      </c>
      <c r="F67" s="62">
        <f>SUM(D67-E67)</f>
        <v>0</v>
      </c>
    </row>
    <row r="68" spans="1:6" ht="12.75">
      <c r="A68" s="103" t="s">
        <v>150</v>
      </c>
      <c r="B68" s="111"/>
      <c r="C68" s="60" t="s">
        <v>725</v>
      </c>
      <c r="D68" s="60">
        <f>D69</f>
        <v>200000</v>
      </c>
      <c r="E68" s="60">
        <f>E69</f>
        <v>200000</v>
      </c>
      <c r="F68" s="60">
        <f>SUM(D68-E68)</f>
        <v>0</v>
      </c>
    </row>
    <row r="69" spans="1:6" ht="22.5">
      <c r="A69" s="104" t="s">
        <v>687</v>
      </c>
      <c r="B69" s="112"/>
      <c r="C69" s="62" t="s">
        <v>453</v>
      </c>
      <c r="D69" s="62">
        <v>200000</v>
      </c>
      <c r="E69" s="62">
        <v>200000</v>
      </c>
      <c r="F69" s="62">
        <f>SUM(D69-E69)</f>
        <v>0</v>
      </c>
    </row>
    <row r="70" spans="1:6" ht="78.75">
      <c r="A70" s="103" t="s">
        <v>27</v>
      </c>
      <c r="B70" s="112"/>
      <c r="C70" s="3" t="s">
        <v>28</v>
      </c>
      <c r="D70" s="60">
        <f>D71</f>
        <v>2600</v>
      </c>
      <c r="E70" s="60">
        <f>E71</f>
        <v>2600</v>
      </c>
      <c r="F70" s="60">
        <f>F71</f>
        <v>0</v>
      </c>
    </row>
    <row r="71" spans="1:6" ht="66" customHeight="1">
      <c r="A71" s="103" t="s">
        <v>29</v>
      </c>
      <c r="B71" s="3"/>
      <c r="C71" s="3" t="s">
        <v>30</v>
      </c>
      <c r="D71" s="3">
        <f>D72</f>
        <v>2600</v>
      </c>
      <c r="E71" s="3">
        <f>E72</f>
        <v>2600</v>
      </c>
      <c r="F71" s="3">
        <f>SUM(D71-E71)</f>
        <v>0</v>
      </c>
    </row>
    <row r="72" spans="1:6" ht="66" customHeight="1">
      <c r="A72" s="103" t="s">
        <v>31</v>
      </c>
      <c r="B72" s="3"/>
      <c r="C72" s="3" t="s">
        <v>32</v>
      </c>
      <c r="D72" s="3">
        <f>D73</f>
        <v>2600</v>
      </c>
      <c r="E72" s="3">
        <f>E73</f>
        <v>2600</v>
      </c>
      <c r="F72" s="3">
        <f>D72-E72</f>
        <v>0</v>
      </c>
    </row>
    <row r="73" spans="1:6" ht="54" customHeight="1">
      <c r="A73" s="104" t="s">
        <v>719</v>
      </c>
      <c r="B73" s="127"/>
      <c r="C73" s="127" t="s">
        <v>720</v>
      </c>
      <c r="D73" s="127">
        <v>2600</v>
      </c>
      <c r="E73" s="127">
        <v>2600</v>
      </c>
      <c r="F73" s="3">
        <f>D73-E73</f>
        <v>0</v>
      </c>
    </row>
    <row r="74" spans="1:8" ht="19.5" customHeight="1">
      <c r="A74" s="103" t="s">
        <v>202</v>
      </c>
      <c r="B74" s="134" t="s">
        <v>203</v>
      </c>
      <c r="C74" s="29"/>
      <c r="D74" s="3">
        <f>D18+D60</f>
        <v>74330984</v>
      </c>
      <c r="E74" s="3">
        <f>E18+E60</f>
        <v>78597098.23</v>
      </c>
      <c r="F74" s="3">
        <f>F18+F60</f>
        <v>-4266114.230000008</v>
      </c>
      <c r="H74" s="57">
        <f>D74-E74</f>
        <v>-4266114.230000004</v>
      </c>
    </row>
    <row r="75" spans="1:6" ht="12.75">
      <c r="A75" s="131"/>
      <c r="B75" s="132"/>
      <c r="C75" s="133"/>
      <c r="D75" s="133"/>
      <c r="E75" s="133"/>
      <c r="F75" s="133"/>
    </row>
    <row r="76" spans="1:6" ht="12.75">
      <c r="A76" s="59"/>
      <c r="B76" s="30"/>
      <c r="C76" s="30"/>
      <c r="D76" s="58"/>
      <c r="E76" s="58"/>
      <c r="F76" s="58"/>
    </row>
    <row r="77" spans="1:6" ht="12.75">
      <c r="A77" s="59"/>
      <c r="B77" s="30"/>
      <c r="C77" s="30"/>
      <c r="D77" s="58"/>
      <c r="E77" s="58"/>
      <c r="F77" s="58"/>
    </row>
  </sheetData>
  <sheetProtection/>
  <mergeCells count="14">
    <mergeCell ref="D5:F5"/>
    <mergeCell ref="D1:F1"/>
    <mergeCell ref="D2:F2"/>
    <mergeCell ref="D4:F4"/>
    <mergeCell ref="D3:F3"/>
    <mergeCell ref="A6:E6"/>
    <mergeCell ref="B7:C7"/>
    <mergeCell ref="A12:D12"/>
    <mergeCell ref="A13:D13"/>
    <mergeCell ref="A14:F15"/>
    <mergeCell ref="B8:C8"/>
    <mergeCell ref="A9:D9"/>
    <mergeCell ref="A10:D10"/>
    <mergeCell ref="A11:D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zoomScalePageLayoutView="0" workbookViewId="0" topLeftCell="A394">
      <selection activeCell="O12" sqref="O12"/>
    </sheetView>
  </sheetViews>
  <sheetFormatPr defaultColWidth="9.00390625" defaultRowHeight="12.75"/>
  <cols>
    <col min="1" max="1" width="40.75390625" style="0" customWidth="1"/>
    <col min="2" max="2" width="6.25390625" style="0" customWidth="1"/>
    <col min="3" max="3" width="25.75390625" style="50" customWidth="1"/>
    <col min="4" max="4" width="14.00390625" style="50" hidden="1" customWidth="1"/>
    <col min="5" max="5" width="3.75390625" style="50" hidden="1" customWidth="1"/>
    <col min="6" max="10" width="14.00390625" style="50" hidden="1" customWidth="1"/>
    <col min="11" max="12" width="16.25390625" style="55" customWidth="1"/>
    <col min="13" max="13" width="15.875" style="55" customWidth="1"/>
    <col min="14" max="14" width="13.375" style="0" bestFit="1" customWidth="1"/>
    <col min="15" max="15" width="13.875" style="0" customWidth="1"/>
    <col min="16" max="16" width="15.375" style="0" customWidth="1"/>
  </cols>
  <sheetData>
    <row r="1" spans="1:13" ht="15.75">
      <c r="A1" s="151" t="s">
        <v>451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 t="s">
        <v>452</v>
      </c>
      <c r="M2" s="153"/>
    </row>
    <row r="3" spans="1:13" ht="33.75">
      <c r="A3" s="32" t="s">
        <v>254</v>
      </c>
      <c r="B3" s="34" t="s">
        <v>154</v>
      </c>
      <c r="C3" s="34" t="s">
        <v>255</v>
      </c>
      <c r="D3" s="33"/>
      <c r="E3" s="33"/>
      <c r="F3" s="33"/>
      <c r="G3" s="33"/>
      <c r="H3" s="33"/>
      <c r="I3" s="33"/>
      <c r="J3" s="33"/>
      <c r="K3" s="34" t="s">
        <v>187</v>
      </c>
      <c r="L3" s="34" t="s">
        <v>149</v>
      </c>
      <c r="M3" s="34" t="s">
        <v>188</v>
      </c>
    </row>
    <row r="4" spans="1:16" ht="30">
      <c r="A4" s="35" t="s">
        <v>420</v>
      </c>
      <c r="B4" s="33">
        <v>200</v>
      </c>
      <c r="C4" s="33"/>
      <c r="D4" s="33"/>
      <c r="E4" s="33"/>
      <c r="F4" s="33"/>
      <c r="G4" s="33"/>
      <c r="H4" s="33"/>
      <c r="I4" s="33"/>
      <c r="J4" s="33"/>
      <c r="K4" s="51">
        <f>K5+K393</f>
        <v>87803334</v>
      </c>
      <c r="L4" s="51">
        <f>L5+L393</f>
        <v>81543953.25999999</v>
      </c>
      <c r="M4" s="51">
        <f>K4-L4</f>
        <v>6259380.74000001</v>
      </c>
      <c r="O4" s="135">
        <v>84633150.5</v>
      </c>
      <c r="P4" s="57">
        <f>K4-O4</f>
        <v>3170183.5</v>
      </c>
    </row>
    <row r="5" spans="1:13" ht="30">
      <c r="A5" s="85" t="s">
        <v>256</v>
      </c>
      <c r="B5" s="86"/>
      <c r="C5" s="83" t="s">
        <v>257</v>
      </c>
      <c r="D5" s="83"/>
      <c r="E5" s="83"/>
      <c r="F5" s="83"/>
      <c r="G5" s="83"/>
      <c r="H5" s="83"/>
      <c r="I5" s="83"/>
      <c r="J5" s="83"/>
      <c r="K5" s="84">
        <f>K6+K98+K109+K138+K191+K291+K299+K355+K377+K385</f>
        <v>86991834</v>
      </c>
      <c r="L5" s="84">
        <f>L6+L98+L109+L138+L191+L291+L299+L355+L377+L385</f>
        <v>80733025.75999999</v>
      </c>
      <c r="M5" s="84">
        <f aca="true" t="shared" si="0" ref="M5:M29">K5-L5</f>
        <v>6258808.24000001</v>
      </c>
    </row>
    <row r="6" spans="1:13" ht="12.75">
      <c r="A6" s="36" t="s">
        <v>258</v>
      </c>
      <c r="B6" s="37"/>
      <c r="C6" s="38" t="s">
        <v>259</v>
      </c>
      <c r="D6" s="38"/>
      <c r="E6" s="38"/>
      <c r="F6" s="38"/>
      <c r="G6" s="38"/>
      <c r="H6" s="38"/>
      <c r="I6" s="38"/>
      <c r="J6" s="38"/>
      <c r="K6" s="52">
        <f>SUM(K7+K59+K66+K72)</f>
        <v>12287241.84</v>
      </c>
      <c r="L6" s="52">
        <f>SUM(L7+L59+L66+L72)</f>
        <v>12074133.919999998</v>
      </c>
      <c r="M6" s="52">
        <f t="shared" si="0"/>
        <v>213107.9200000018</v>
      </c>
    </row>
    <row r="7" spans="1:13" ht="52.5">
      <c r="A7" s="36" t="s">
        <v>260</v>
      </c>
      <c r="B7" s="37"/>
      <c r="C7" s="38" t="s">
        <v>261</v>
      </c>
      <c r="D7" s="38"/>
      <c r="E7" s="38"/>
      <c r="F7" s="38"/>
      <c r="G7" s="38"/>
      <c r="H7" s="38"/>
      <c r="I7" s="38"/>
      <c r="J7" s="38"/>
      <c r="K7" s="52">
        <f>SUM(K8+K37)</f>
        <v>10844610</v>
      </c>
      <c r="L7" s="52">
        <f>L8+L37</f>
        <v>10664534.719999999</v>
      </c>
      <c r="M7" s="52">
        <f t="shared" si="0"/>
        <v>180075.2800000012</v>
      </c>
    </row>
    <row r="8" spans="1:13" ht="31.5">
      <c r="A8" s="36" t="s">
        <v>262</v>
      </c>
      <c r="B8" s="37"/>
      <c r="C8" s="38" t="s">
        <v>263</v>
      </c>
      <c r="D8" s="38"/>
      <c r="E8" s="38"/>
      <c r="F8" s="38"/>
      <c r="G8" s="38"/>
      <c r="H8" s="38"/>
      <c r="I8" s="38"/>
      <c r="J8" s="38"/>
      <c r="K8" s="52">
        <f>SUM(K9+K29)</f>
        <v>10404300</v>
      </c>
      <c r="L8" s="52">
        <f>SUM(L9+L29)</f>
        <v>10238052.18</v>
      </c>
      <c r="M8" s="52">
        <f t="shared" si="0"/>
        <v>166247.8200000003</v>
      </c>
    </row>
    <row r="9" spans="1:13" ht="12.75">
      <c r="A9" s="64" t="s">
        <v>264</v>
      </c>
      <c r="B9" s="65"/>
      <c r="C9" s="66" t="s">
        <v>265</v>
      </c>
      <c r="D9" s="66"/>
      <c r="E9" s="66"/>
      <c r="F9" s="66"/>
      <c r="G9" s="66"/>
      <c r="H9" s="66"/>
      <c r="I9" s="66"/>
      <c r="J9" s="66"/>
      <c r="K9" s="67">
        <f>K10</f>
        <v>9437200</v>
      </c>
      <c r="L9" s="67">
        <f>L10</f>
        <v>9271094.82</v>
      </c>
      <c r="M9" s="67">
        <f t="shared" si="0"/>
        <v>166105.1799999997</v>
      </c>
    </row>
    <row r="10" spans="1:14" ht="22.5">
      <c r="A10" s="68" t="s">
        <v>266</v>
      </c>
      <c r="B10" s="69"/>
      <c r="C10" s="70" t="s">
        <v>267</v>
      </c>
      <c r="D10" s="70"/>
      <c r="E10" s="70"/>
      <c r="F10" s="70"/>
      <c r="G10" s="70"/>
      <c r="H10" s="70"/>
      <c r="I10" s="70"/>
      <c r="J10" s="70"/>
      <c r="K10" s="71">
        <f>SUM(K11+K26)</f>
        <v>9437200</v>
      </c>
      <c r="L10" s="71">
        <f>SUM(L11+L26)</f>
        <v>9271094.82</v>
      </c>
      <c r="M10" s="71">
        <f>SUM(M11+M26)</f>
        <v>166105.17999999935</v>
      </c>
      <c r="N10" s="57"/>
    </row>
    <row r="11" spans="1:15" ht="12.75">
      <c r="A11" s="68" t="s">
        <v>77</v>
      </c>
      <c r="B11" s="69"/>
      <c r="C11" s="70" t="s">
        <v>75</v>
      </c>
      <c r="D11" s="70"/>
      <c r="E11" s="70"/>
      <c r="F11" s="70"/>
      <c r="G11" s="70"/>
      <c r="H11" s="70"/>
      <c r="I11" s="70"/>
      <c r="J11" s="70"/>
      <c r="K11" s="71">
        <f>SUM(K12+K16+K23+K25)</f>
        <v>8852500</v>
      </c>
      <c r="L11" s="71">
        <f>SUM(L12+L16+L23+L25)</f>
        <v>8701547.89</v>
      </c>
      <c r="M11" s="71">
        <f>K11-L11</f>
        <v>150952.1099999994</v>
      </c>
      <c r="N11" s="57"/>
      <c r="O11" s="57">
        <f>L21+L49+L133+L160+L170+L175+L182+L203+L235+L258+L279+L267+L272+L286+L320+L349</f>
        <v>26217968.370000005</v>
      </c>
    </row>
    <row r="12" spans="1:14" ht="22.5">
      <c r="A12" s="68" t="s">
        <v>80</v>
      </c>
      <c r="B12" s="69"/>
      <c r="C12" s="70" t="s">
        <v>78</v>
      </c>
      <c r="D12" s="70"/>
      <c r="E12" s="70"/>
      <c r="F12" s="70"/>
      <c r="G12" s="70"/>
      <c r="H12" s="70"/>
      <c r="I12" s="70"/>
      <c r="J12" s="70"/>
      <c r="K12" s="71">
        <f>SUM(K13:K15)</f>
        <v>6075500</v>
      </c>
      <c r="L12" s="71">
        <f>SUM(L13:L15)</f>
        <v>6065968.15</v>
      </c>
      <c r="M12" s="71">
        <f>SUM(M13:M15)</f>
        <v>9531.849999999627</v>
      </c>
      <c r="N12" s="57"/>
    </row>
    <row r="13" spans="1:13" ht="12.75">
      <c r="A13" s="68" t="s">
        <v>165</v>
      </c>
      <c r="B13" s="69"/>
      <c r="C13" s="70" t="s">
        <v>429</v>
      </c>
      <c r="D13" s="70"/>
      <c r="E13" s="70"/>
      <c r="F13" s="70"/>
      <c r="G13" s="70"/>
      <c r="H13" s="70"/>
      <c r="I13" s="70"/>
      <c r="J13" s="70"/>
      <c r="K13" s="71">
        <v>4730100</v>
      </c>
      <c r="L13" s="71">
        <f>3675981.4+344192.37+708132.44</f>
        <v>4728306.21</v>
      </c>
      <c r="M13" s="71">
        <f t="shared" si="0"/>
        <v>1793.7900000000373</v>
      </c>
    </row>
    <row r="14" spans="1:13" ht="12.75">
      <c r="A14" s="68" t="s">
        <v>168</v>
      </c>
      <c r="B14" s="69"/>
      <c r="C14" s="70" t="s">
        <v>431</v>
      </c>
      <c r="D14" s="70"/>
      <c r="E14" s="70"/>
      <c r="F14" s="70"/>
      <c r="G14" s="70"/>
      <c r="H14" s="70"/>
      <c r="I14" s="70"/>
      <c r="J14" s="70"/>
      <c r="K14" s="71">
        <v>2700</v>
      </c>
      <c r="L14" s="71">
        <f>600+1500+600</f>
        <v>2700</v>
      </c>
      <c r="M14" s="71">
        <f t="shared" si="0"/>
        <v>0</v>
      </c>
    </row>
    <row r="15" spans="1:13" ht="12.75">
      <c r="A15" s="68" t="s">
        <v>166</v>
      </c>
      <c r="B15" s="69"/>
      <c r="C15" s="70" t="s">
        <v>430</v>
      </c>
      <c r="D15" s="70"/>
      <c r="E15" s="70"/>
      <c r="F15" s="70"/>
      <c r="G15" s="70"/>
      <c r="H15" s="70"/>
      <c r="I15" s="70"/>
      <c r="J15" s="70"/>
      <c r="K15" s="71">
        <v>1342700</v>
      </c>
      <c r="L15" s="71">
        <f>1038640.56+108217.34-42917.92-41797.67+272819.63</f>
        <v>1334961.9400000004</v>
      </c>
      <c r="M15" s="71">
        <f t="shared" si="0"/>
        <v>7738.05999999959</v>
      </c>
    </row>
    <row r="16" spans="1:13" ht="12.75">
      <c r="A16" s="68" t="s">
        <v>81</v>
      </c>
      <c r="B16" s="69"/>
      <c r="C16" s="70" t="s">
        <v>79</v>
      </c>
      <c r="D16" s="70"/>
      <c r="E16" s="70"/>
      <c r="F16" s="70"/>
      <c r="G16" s="70"/>
      <c r="H16" s="70"/>
      <c r="I16" s="70"/>
      <c r="J16" s="70"/>
      <c r="K16" s="71">
        <f>SUM(K17:K22)</f>
        <v>2544100</v>
      </c>
      <c r="L16" s="71">
        <f>SUM(L17:L22)</f>
        <v>2404421.16</v>
      </c>
      <c r="M16" s="71">
        <f>SUM(M17:M22)</f>
        <v>139678.84000000005</v>
      </c>
    </row>
    <row r="17" spans="1:13" ht="12.75">
      <c r="A17" s="68" t="s">
        <v>169</v>
      </c>
      <c r="B17" s="69"/>
      <c r="C17" s="70" t="s">
        <v>432</v>
      </c>
      <c r="D17" s="70"/>
      <c r="E17" s="70"/>
      <c r="F17" s="70"/>
      <c r="G17" s="70"/>
      <c r="H17" s="70"/>
      <c r="I17" s="70"/>
      <c r="J17" s="70"/>
      <c r="K17" s="71">
        <v>241100</v>
      </c>
      <c r="L17" s="71">
        <f>179109.27+15168.79+32801.4</f>
        <v>227079.46</v>
      </c>
      <c r="M17" s="71">
        <f t="shared" si="0"/>
        <v>14020.540000000008</v>
      </c>
    </row>
    <row r="18" spans="1:13" ht="12.75">
      <c r="A18" s="68" t="s">
        <v>170</v>
      </c>
      <c r="B18" s="69"/>
      <c r="C18" s="70" t="s">
        <v>433</v>
      </c>
      <c r="D18" s="70"/>
      <c r="E18" s="70"/>
      <c r="F18" s="70"/>
      <c r="G18" s="70"/>
      <c r="H18" s="70"/>
      <c r="I18" s="70"/>
      <c r="J18" s="70"/>
      <c r="K18" s="71">
        <v>24100</v>
      </c>
      <c r="L18" s="71">
        <f>1000+476+16318.88</f>
        <v>17794.879999999997</v>
      </c>
      <c r="M18" s="71">
        <f t="shared" si="0"/>
        <v>6305.120000000003</v>
      </c>
    </row>
    <row r="19" spans="1:13" ht="12.75">
      <c r="A19" s="68" t="s">
        <v>171</v>
      </c>
      <c r="B19" s="69"/>
      <c r="C19" s="70" t="s">
        <v>434</v>
      </c>
      <c r="D19" s="70"/>
      <c r="E19" s="70"/>
      <c r="F19" s="70"/>
      <c r="G19" s="70"/>
      <c r="H19" s="70"/>
      <c r="I19" s="70"/>
      <c r="J19" s="70"/>
      <c r="K19" s="71">
        <f>298800+115600+21400</f>
        <v>435800</v>
      </c>
      <c r="L19" s="71">
        <f>244772.26+33823.49+96240.59</f>
        <v>374836.33999999997</v>
      </c>
      <c r="M19" s="71">
        <f t="shared" si="0"/>
        <v>60963.66000000003</v>
      </c>
    </row>
    <row r="20" spans="1:13" ht="12.75">
      <c r="A20" s="68" t="s">
        <v>82</v>
      </c>
      <c r="B20" s="69"/>
      <c r="C20" s="70" t="s">
        <v>435</v>
      </c>
      <c r="D20" s="70"/>
      <c r="E20" s="70"/>
      <c r="F20" s="70"/>
      <c r="G20" s="70"/>
      <c r="H20" s="70"/>
      <c r="I20" s="70"/>
      <c r="J20" s="70"/>
      <c r="K20" s="71">
        <v>1001600</v>
      </c>
      <c r="L20" s="71">
        <f>828990.09+86275.5+86275.5</f>
        <v>1001541.09</v>
      </c>
      <c r="M20" s="71">
        <f t="shared" si="0"/>
        <v>58.910000000032596</v>
      </c>
    </row>
    <row r="21" spans="1:13" ht="12.75">
      <c r="A21" s="68" t="s">
        <v>184</v>
      </c>
      <c r="B21" s="69"/>
      <c r="C21" s="70" t="s">
        <v>436</v>
      </c>
      <c r="D21" s="70"/>
      <c r="E21" s="70"/>
      <c r="F21" s="70"/>
      <c r="G21" s="70"/>
      <c r="H21" s="70"/>
      <c r="I21" s="70"/>
      <c r="J21" s="70"/>
      <c r="K21" s="71">
        <f>212300+3300</f>
        <v>215600</v>
      </c>
      <c r="L21" s="71">
        <f>123821.97+34324+24991.89</f>
        <v>183137.86</v>
      </c>
      <c r="M21" s="71">
        <f t="shared" si="0"/>
        <v>32462.140000000014</v>
      </c>
    </row>
    <row r="22" spans="1:13" ht="12.75">
      <c r="A22" s="68" t="s">
        <v>172</v>
      </c>
      <c r="B22" s="69"/>
      <c r="C22" s="70" t="s">
        <v>437</v>
      </c>
      <c r="D22" s="70"/>
      <c r="E22" s="70"/>
      <c r="F22" s="70"/>
      <c r="G22" s="70"/>
      <c r="H22" s="70"/>
      <c r="I22" s="70"/>
      <c r="J22" s="70"/>
      <c r="K22" s="71">
        <v>625900</v>
      </c>
      <c r="L22" s="71">
        <f>431854.73+26095+142081.8</f>
        <v>600031.53</v>
      </c>
      <c r="M22" s="71">
        <f t="shared" si="0"/>
        <v>25868.469999999972</v>
      </c>
    </row>
    <row r="23" spans="1:13" ht="12.75">
      <c r="A23" s="68" t="s">
        <v>133</v>
      </c>
      <c r="B23" s="69"/>
      <c r="C23" s="70" t="s">
        <v>556</v>
      </c>
      <c r="D23" s="70"/>
      <c r="E23" s="70"/>
      <c r="F23" s="70"/>
      <c r="G23" s="70"/>
      <c r="H23" s="70"/>
      <c r="I23" s="70"/>
      <c r="J23" s="70"/>
      <c r="K23" s="71">
        <f>K24</f>
        <v>160700</v>
      </c>
      <c r="L23" s="71">
        <f>L24</f>
        <v>160692.84</v>
      </c>
      <c r="M23" s="71">
        <f>K23-L23</f>
        <v>7.1600000000034925</v>
      </c>
    </row>
    <row r="24" spans="1:13" ht="12.75">
      <c r="A24" s="68" t="s">
        <v>134</v>
      </c>
      <c r="B24" s="69"/>
      <c r="C24" s="70" t="s">
        <v>555</v>
      </c>
      <c r="D24" s="70"/>
      <c r="E24" s="70"/>
      <c r="F24" s="70"/>
      <c r="G24" s="70"/>
      <c r="H24" s="70"/>
      <c r="I24" s="70"/>
      <c r="J24" s="70"/>
      <c r="K24" s="71">
        <v>160700</v>
      </c>
      <c r="L24" s="71">
        <v>160692.84</v>
      </c>
      <c r="M24" s="71">
        <f t="shared" si="0"/>
        <v>7.1600000000034925</v>
      </c>
    </row>
    <row r="25" spans="1:13" ht="12.75">
      <c r="A25" s="68" t="s">
        <v>167</v>
      </c>
      <c r="B25" s="69"/>
      <c r="C25" s="70" t="s">
        <v>438</v>
      </c>
      <c r="D25" s="70"/>
      <c r="E25" s="70"/>
      <c r="F25" s="70"/>
      <c r="G25" s="70"/>
      <c r="H25" s="70"/>
      <c r="I25" s="70"/>
      <c r="J25" s="70"/>
      <c r="K25" s="71">
        <v>72200</v>
      </c>
      <c r="L25" s="71">
        <f>70373.36+57.19+35.19</f>
        <v>70465.74</v>
      </c>
      <c r="M25" s="71">
        <f t="shared" si="0"/>
        <v>1734.2599999999948</v>
      </c>
    </row>
    <row r="26" spans="1:13" ht="12.75">
      <c r="A26" s="68" t="s">
        <v>83</v>
      </c>
      <c r="B26" s="69"/>
      <c r="C26" s="70" t="s">
        <v>76</v>
      </c>
      <c r="D26" s="70"/>
      <c r="E26" s="70"/>
      <c r="F26" s="70"/>
      <c r="G26" s="70"/>
      <c r="H26" s="70"/>
      <c r="I26" s="70"/>
      <c r="J26" s="70"/>
      <c r="K26" s="71">
        <f>SUM(K27:K28)</f>
        <v>584700</v>
      </c>
      <c r="L26" s="71">
        <f>SUM(L27:L28)</f>
        <v>569546.93</v>
      </c>
      <c r="M26" s="71">
        <f>SUM(M27:M28)</f>
        <v>15153.069999999949</v>
      </c>
    </row>
    <row r="27" spans="1:13" ht="12.75">
      <c r="A27" s="68" t="s">
        <v>173</v>
      </c>
      <c r="B27" s="69"/>
      <c r="C27" s="70" t="s">
        <v>439</v>
      </c>
      <c r="D27" s="70"/>
      <c r="E27" s="70"/>
      <c r="F27" s="70"/>
      <c r="G27" s="70"/>
      <c r="H27" s="70"/>
      <c r="I27" s="70"/>
      <c r="J27" s="70"/>
      <c r="K27" s="71">
        <v>14700</v>
      </c>
      <c r="L27" s="71">
        <v>14624</v>
      </c>
      <c r="M27" s="71">
        <f t="shared" si="0"/>
        <v>76</v>
      </c>
    </row>
    <row r="28" spans="1:16" ht="12.75">
      <c r="A28" s="68" t="s">
        <v>174</v>
      </c>
      <c r="B28" s="69"/>
      <c r="C28" s="70" t="s">
        <v>440</v>
      </c>
      <c r="D28" s="70"/>
      <c r="E28" s="70"/>
      <c r="F28" s="70"/>
      <c r="G28" s="70"/>
      <c r="H28" s="70"/>
      <c r="I28" s="70"/>
      <c r="J28" s="70"/>
      <c r="K28" s="71">
        <v>570000</v>
      </c>
      <c r="L28" s="71">
        <f>470167.15+40321.78+44434</f>
        <v>554922.93</v>
      </c>
      <c r="M28" s="71">
        <f t="shared" si="0"/>
        <v>15077.069999999949</v>
      </c>
      <c r="P28" s="57"/>
    </row>
    <row r="29" spans="1:16" ht="12.75">
      <c r="A29" s="64" t="s">
        <v>268</v>
      </c>
      <c r="B29" s="65"/>
      <c r="C29" s="66" t="s">
        <v>269</v>
      </c>
      <c r="D29" s="66"/>
      <c r="E29" s="66"/>
      <c r="F29" s="66"/>
      <c r="G29" s="66"/>
      <c r="H29" s="66"/>
      <c r="I29" s="66"/>
      <c r="J29" s="66"/>
      <c r="K29" s="67">
        <f>K30</f>
        <v>967100</v>
      </c>
      <c r="L29" s="67">
        <f>L30</f>
        <v>966957.36</v>
      </c>
      <c r="M29" s="67">
        <f t="shared" si="0"/>
        <v>142.64000000001397</v>
      </c>
      <c r="P29" s="57"/>
    </row>
    <row r="30" spans="1:14" ht="22.5">
      <c r="A30" s="68" t="s">
        <v>266</v>
      </c>
      <c r="B30" s="72"/>
      <c r="C30" s="70" t="s">
        <v>270</v>
      </c>
      <c r="D30" s="70"/>
      <c r="E30" s="70"/>
      <c r="F30" s="70"/>
      <c r="G30" s="70"/>
      <c r="H30" s="70"/>
      <c r="I30" s="70"/>
      <c r="J30" s="70"/>
      <c r="K30" s="71">
        <f>SUM(K31)</f>
        <v>967100</v>
      </c>
      <c r="L30" s="71">
        <f>SUM(L31)</f>
        <v>966957.36</v>
      </c>
      <c r="M30" s="71">
        <f>SUM(M31)</f>
        <v>88.0000000000291</v>
      </c>
      <c r="N30" s="57"/>
    </row>
    <row r="31" spans="1:14" ht="12.75">
      <c r="A31" s="68" t="s">
        <v>77</v>
      </c>
      <c r="B31" s="72"/>
      <c r="C31" s="70" t="s">
        <v>84</v>
      </c>
      <c r="D31" s="70"/>
      <c r="E31" s="70"/>
      <c r="F31" s="70"/>
      <c r="G31" s="70"/>
      <c r="H31" s="70"/>
      <c r="I31" s="70"/>
      <c r="J31" s="70"/>
      <c r="K31" s="71">
        <f>K32+K35</f>
        <v>967100</v>
      </c>
      <c r="L31" s="71">
        <f>L32+L35</f>
        <v>966957.36</v>
      </c>
      <c r="M31" s="71">
        <f>SUM(M33:M34)</f>
        <v>88.0000000000291</v>
      </c>
      <c r="N31" s="57"/>
    </row>
    <row r="32" spans="1:14" ht="22.5">
      <c r="A32" s="68" t="s">
        <v>80</v>
      </c>
      <c r="B32" s="72"/>
      <c r="C32" s="70" t="s">
        <v>132</v>
      </c>
      <c r="D32" s="70"/>
      <c r="E32" s="70"/>
      <c r="F32" s="70"/>
      <c r="G32" s="70"/>
      <c r="H32" s="70"/>
      <c r="I32" s="70"/>
      <c r="J32" s="70"/>
      <c r="K32" s="71">
        <f>SUM(K33:K34)</f>
        <v>796900</v>
      </c>
      <c r="L32" s="71">
        <f>SUM(L33:L34)</f>
        <v>796812</v>
      </c>
      <c r="M32" s="71">
        <f>SUM(M34:M37)</f>
        <v>13937.589999999997</v>
      </c>
      <c r="N32" s="57"/>
    </row>
    <row r="33" spans="1:14" ht="12.75">
      <c r="A33" s="68" t="s">
        <v>165</v>
      </c>
      <c r="B33" s="72"/>
      <c r="C33" s="70" t="s">
        <v>441</v>
      </c>
      <c r="D33" s="70"/>
      <c r="E33" s="70"/>
      <c r="F33" s="70"/>
      <c r="G33" s="70"/>
      <c r="H33" s="70"/>
      <c r="I33" s="70"/>
      <c r="J33" s="70"/>
      <c r="K33" s="71">
        <v>613640</v>
      </c>
      <c r="L33" s="71">
        <f>459764.85+46600.48+107187.52</f>
        <v>613552.85</v>
      </c>
      <c r="M33" s="71">
        <f>K33-L33</f>
        <v>87.15000000002328</v>
      </c>
      <c r="N33" s="57"/>
    </row>
    <row r="34" spans="1:13" ht="12.75">
      <c r="A34" s="68" t="s">
        <v>166</v>
      </c>
      <c r="B34" s="72"/>
      <c r="C34" s="70" t="s">
        <v>442</v>
      </c>
      <c r="D34" s="70"/>
      <c r="E34" s="70"/>
      <c r="F34" s="70"/>
      <c r="G34" s="70"/>
      <c r="H34" s="70"/>
      <c r="I34" s="70"/>
      <c r="J34" s="70"/>
      <c r="K34" s="71">
        <v>183260</v>
      </c>
      <c r="L34" s="71">
        <f>131968+14022+37269.15</f>
        <v>183259.15</v>
      </c>
      <c r="M34" s="71">
        <f>K34-L34</f>
        <v>0.8500000000058208</v>
      </c>
    </row>
    <row r="35" spans="1:13" ht="12.75">
      <c r="A35" s="68" t="s">
        <v>133</v>
      </c>
      <c r="B35" s="69"/>
      <c r="C35" s="70" t="s">
        <v>577</v>
      </c>
      <c r="D35" s="70"/>
      <c r="E35" s="70"/>
      <c r="F35" s="70"/>
      <c r="G35" s="70"/>
      <c r="H35" s="70"/>
      <c r="I35" s="70"/>
      <c r="J35" s="70"/>
      <c r="K35" s="71">
        <f>K36</f>
        <v>170200</v>
      </c>
      <c r="L35" s="71">
        <f>L36</f>
        <v>170145.36</v>
      </c>
      <c r="M35" s="71">
        <f>K35-L35</f>
        <v>54.64000000001397</v>
      </c>
    </row>
    <row r="36" spans="1:13" ht="12.75">
      <c r="A36" s="68" t="s">
        <v>134</v>
      </c>
      <c r="B36" s="69"/>
      <c r="C36" s="70" t="s">
        <v>576</v>
      </c>
      <c r="D36" s="70"/>
      <c r="E36" s="70"/>
      <c r="F36" s="70"/>
      <c r="G36" s="70"/>
      <c r="H36" s="70"/>
      <c r="I36" s="70"/>
      <c r="J36" s="70"/>
      <c r="K36" s="71">
        <v>170200</v>
      </c>
      <c r="L36" s="71">
        <v>170145.36</v>
      </c>
      <c r="M36" s="71">
        <f>K36-L36</f>
        <v>54.64000000001397</v>
      </c>
    </row>
    <row r="37" spans="1:13" ht="12.75">
      <c r="A37" s="36" t="s">
        <v>204</v>
      </c>
      <c r="B37" s="37"/>
      <c r="C37" s="38" t="s">
        <v>271</v>
      </c>
      <c r="D37" s="38"/>
      <c r="E37" s="38"/>
      <c r="F37" s="38"/>
      <c r="G37" s="38"/>
      <c r="H37" s="38"/>
      <c r="I37" s="38"/>
      <c r="J37" s="38"/>
      <c r="K37" s="52">
        <f>K38+K54</f>
        <v>440310</v>
      </c>
      <c r="L37" s="52">
        <f>L38+L54</f>
        <v>426482.54000000004</v>
      </c>
      <c r="M37" s="52">
        <f aca="true" t="shared" si="1" ref="M37:M225">K37-L37</f>
        <v>13827.459999999963</v>
      </c>
    </row>
    <row r="38" spans="1:13" ht="88.5" customHeight="1">
      <c r="A38" s="114" t="s">
        <v>33</v>
      </c>
      <c r="B38" s="37"/>
      <c r="C38" s="38" t="s">
        <v>537</v>
      </c>
      <c r="D38" s="38"/>
      <c r="E38" s="38"/>
      <c r="F38" s="38"/>
      <c r="G38" s="38"/>
      <c r="H38" s="38"/>
      <c r="I38" s="38"/>
      <c r="J38" s="38"/>
      <c r="K38" s="52">
        <f>K39</f>
        <v>438310</v>
      </c>
      <c r="L38" s="52">
        <f>L39</f>
        <v>424482.54000000004</v>
      </c>
      <c r="M38" s="52">
        <f aca="true" t="shared" si="2" ref="M38:M53">K38-L38</f>
        <v>13827.459999999963</v>
      </c>
    </row>
    <row r="39" spans="1:13" ht="47.25" customHeight="1">
      <c r="A39" s="36" t="s">
        <v>553</v>
      </c>
      <c r="B39" s="37"/>
      <c r="C39" s="38" t="s">
        <v>552</v>
      </c>
      <c r="D39" s="38"/>
      <c r="E39" s="38"/>
      <c r="F39" s="38"/>
      <c r="G39" s="38"/>
      <c r="H39" s="38"/>
      <c r="I39" s="38"/>
      <c r="J39" s="38"/>
      <c r="K39" s="52">
        <f>K40</f>
        <v>438310</v>
      </c>
      <c r="L39" s="52">
        <f>L40</f>
        <v>424482.54000000004</v>
      </c>
      <c r="M39" s="52">
        <f t="shared" si="2"/>
        <v>13827.459999999963</v>
      </c>
    </row>
    <row r="40" spans="1:13" ht="22.5">
      <c r="A40" s="68" t="s">
        <v>266</v>
      </c>
      <c r="B40" s="37"/>
      <c r="C40" s="80" t="s">
        <v>538</v>
      </c>
      <c r="D40" s="38"/>
      <c r="E40" s="38"/>
      <c r="F40" s="38"/>
      <c r="G40" s="38"/>
      <c r="H40" s="38"/>
      <c r="I40" s="38"/>
      <c r="J40" s="38"/>
      <c r="K40" s="81">
        <f>K41+K51</f>
        <v>438310</v>
      </c>
      <c r="L40" s="81">
        <f>L41+L51</f>
        <v>424482.54000000004</v>
      </c>
      <c r="M40" s="81">
        <f t="shared" si="2"/>
        <v>13827.459999999963</v>
      </c>
    </row>
    <row r="41" spans="1:13" ht="12.75">
      <c r="A41" s="68" t="s">
        <v>77</v>
      </c>
      <c r="B41" s="37"/>
      <c r="C41" s="80" t="s">
        <v>539</v>
      </c>
      <c r="D41" s="38"/>
      <c r="E41" s="38"/>
      <c r="F41" s="38"/>
      <c r="G41" s="38"/>
      <c r="H41" s="38"/>
      <c r="I41" s="38"/>
      <c r="J41" s="38"/>
      <c r="K41" s="81">
        <f>K42+K46</f>
        <v>390780</v>
      </c>
      <c r="L41" s="81">
        <f>L42+L46</f>
        <v>376952.58</v>
      </c>
      <c r="M41" s="81">
        <f t="shared" si="2"/>
        <v>13827.419999999984</v>
      </c>
    </row>
    <row r="42" spans="1:13" ht="22.5">
      <c r="A42" s="68" t="s">
        <v>80</v>
      </c>
      <c r="B42" s="37"/>
      <c r="C42" s="80" t="s">
        <v>550</v>
      </c>
      <c r="D42" s="38"/>
      <c r="E42" s="38"/>
      <c r="F42" s="38"/>
      <c r="G42" s="38"/>
      <c r="H42" s="38"/>
      <c r="I42" s="38"/>
      <c r="J42" s="38"/>
      <c r="K42" s="81">
        <f>K43+K44+K45</f>
        <v>368000</v>
      </c>
      <c r="L42" s="81">
        <f>L43+L44+L45</f>
        <v>354172.58</v>
      </c>
      <c r="M42" s="81">
        <f t="shared" si="2"/>
        <v>13827.419999999984</v>
      </c>
    </row>
    <row r="43" spans="1:13" ht="12.75">
      <c r="A43" s="68" t="s">
        <v>165</v>
      </c>
      <c r="B43" s="37"/>
      <c r="C43" s="80" t="s">
        <v>541</v>
      </c>
      <c r="D43" s="38"/>
      <c r="E43" s="38"/>
      <c r="F43" s="38"/>
      <c r="G43" s="38"/>
      <c r="H43" s="38"/>
      <c r="I43" s="38"/>
      <c r="J43" s="38"/>
      <c r="K43" s="81">
        <v>277600</v>
      </c>
      <c r="L43" s="81">
        <f>202819.48+27801.97+43449.57</f>
        <v>274071.02</v>
      </c>
      <c r="M43" s="81">
        <f t="shared" si="2"/>
        <v>3528.9799999999814</v>
      </c>
    </row>
    <row r="44" spans="1:13" ht="12.75">
      <c r="A44" s="68" t="s">
        <v>168</v>
      </c>
      <c r="B44" s="37"/>
      <c r="C44" s="80" t="s">
        <v>542</v>
      </c>
      <c r="D44" s="38"/>
      <c r="E44" s="38"/>
      <c r="F44" s="38"/>
      <c r="G44" s="38"/>
      <c r="H44" s="38"/>
      <c r="I44" s="38"/>
      <c r="J44" s="38"/>
      <c r="K44" s="81">
        <v>0</v>
      </c>
      <c r="L44" s="81">
        <v>0</v>
      </c>
      <c r="M44" s="81">
        <f t="shared" si="2"/>
        <v>0</v>
      </c>
    </row>
    <row r="45" spans="1:13" ht="12.75">
      <c r="A45" s="68" t="s">
        <v>166</v>
      </c>
      <c r="B45" s="37"/>
      <c r="C45" s="80" t="s">
        <v>543</v>
      </c>
      <c r="D45" s="38"/>
      <c r="E45" s="38"/>
      <c r="F45" s="38"/>
      <c r="G45" s="38"/>
      <c r="H45" s="38"/>
      <c r="I45" s="38"/>
      <c r="J45" s="38"/>
      <c r="K45" s="81">
        <v>90400</v>
      </c>
      <c r="L45" s="81">
        <f>70124.12+9000-13363.54+14340.98</f>
        <v>80101.55999999998</v>
      </c>
      <c r="M45" s="81">
        <f t="shared" si="2"/>
        <v>10298.440000000017</v>
      </c>
    </row>
    <row r="46" spans="1:13" ht="12.75">
      <c r="A46" s="68" t="s">
        <v>81</v>
      </c>
      <c r="B46" s="37"/>
      <c r="C46" s="80" t="s">
        <v>551</v>
      </c>
      <c r="D46" s="38"/>
      <c r="E46" s="38"/>
      <c r="F46" s="38"/>
      <c r="G46" s="38"/>
      <c r="H46" s="38"/>
      <c r="I46" s="38"/>
      <c r="J46" s="38"/>
      <c r="K46" s="81">
        <f>K47+K48+K49+K50</f>
        <v>22780</v>
      </c>
      <c r="L46" s="81">
        <f>L47+L48+L49+L50</f>
        <v>22780</v>
      </c>
      <c r="M46" s="81">
        <f t="shared" si="2"/>
        <v>0</v>
      </c>
    </row>
    <row r="47" spans="1:13" ht="12.75">
      <c r="A47" s="68" t="s">
        <v>169</v>
      </c>
      <c r="B47" s="37"/>
      <c r="C47" s="80" t="s">
        <v>544</v>
      </c>
      <c r="D47" s="38"/>
      <c r="E47" s="38"/>
      <c r="F47" s="38"/>
      <c r="G47" s="38"/>
      <c r="H47" s="38"/>
      <c r="I47" s="38"/>
      <c r="J47" s="38"/>
      <c r="K47" s="81">
        <v>22200</v>
      </c>
      <c r="L47" s="81">
        <f>15800+510+5890</f>
        <v>22200</v>
      </c>
      <c r="M47" s="81">
        <f t="shared" si="2"/>
        <v>0</v>
      </c>
    </row>
    <row r="48" spans="1:13" ht="12.75">
      <c r="A48" s="68" t="s">
        <v>170</v>
      </c>
      <c r="B48" s="37"/>
      <c r="C48" s="80" t="s">
        <v>545</v>
      </c>
      <c r="D48" s="38"/>
      <c r="E48" s="38"/>
      <c r="F48" s="38"/>
      <c r="G48" s="38"/>
      <c r="H48" s="38"/>
      <c r="I48" s="38"/>
      <c r="J48" s="38"/>
      <c r="K48" s="81">
        <v>580</v>
      </c>
      <c r="L48" s="81">
        <v>580</v>
      </c>
      <c r="M48" s="81">
        <f t="shared" si="2"/>
        <v>0</v>
      </c>
    </row>
    <row r="49" spans="1:13" ht="12.75">
      <c r="A49" s="68" t="s">
        <v>184</v>
      </c>
      <c r="B49" s="37"/>
      <c r="C49" s="80" t="s">
        <v>546</v>
      </c>
      <c r="D49" s="38"/>
      <c r="E49" s="38"/>
      <c r="F49" s="38"/>
      <c r="G49" s="38"/>
      <c r="H49" s="38"/>
      <c r="I49" s="38"/>
      <c r="J49" s="38"/>
      <c r="K49" s="81">
        <v>0</v>
      </c>
      <c r="L49" s="81">
        <v>0</v>
      </c>
      <c r="M49" s="81">
        <f t="shared" si="2"/>
        <v>0</v>
      </c>
    </row>
    <row r="50" spans="1:13" ht="12.75">
      <c r="A50" s="68" t="s">
        <v>172</v>
      </c>
      <c r="B50" s="37"/>
      <c r="C50" s="80" t="s">
        <v>547</v>
      </c>
      <c r="D50" s="38"/>
      <c r="E50" s="38"/>
      <c r="F50" s="38"/>
      <c r="G50" s="38"/>
      <c r="H50" s="38"/>
      <c r="I50" s="38"/>
      <c r="J50" s="38"/>
      <c r="K50" s="81">
        <v>0</v>
      </c>
      <c r="L50" s="81">
        <v>0</v>
      </c>
      <c r="M50" s="81">
        <f t="shared" si="2"/>
        <v>0</v>
      </c>
    </row>
    <row r="51" spans="1:13" ht="12.75">
      <c r="A51" s="68" t="s">
        <v>83</v>
      </c>
      <c r="B51" s="37"/>
      <c r="C51" s="80" t="s">
        <v>540</v>
      </c>
      <c r="D51" s="38"/>
      <c r="E51" s="38"/>
      <c r="F51" s="38"/>
      <c r="G51" s="38"/>
      <c r="H51" s="38"/>
      <c r="I51" s="38"/>
      <c r="J51" s="38"/>
      <c r="K51" s="81">
        <f>K52+K53</f>
        <v>47530</v>
      </c>
      <c r="L51" s="81">
        <f>L52+L53</f>
        <v>47529.96</v>
      </c>
      <c r="M51" s="81">
        <f t="shared" si="2"/>
        <v>0.040000000000873115</v>
      </c>
    </row>
    <row r="52" spans="1:13" ht="12.75">
      <c r="A52" s="68" t="s">
        <v>173</v>
      </c>
      <c r="B52" s="37"/>
      <c r="C52" s="80" t="s">
        <v>548</v>
      </c>
      <c r="D52" s="38"/>
      <c r="E52" s="38"/>
      <c r="F52" s="38"/>
      <c r="G52" s="38"/>
      <c r="H52" s="38"/>
      <c r="I52" s="38"/>
      <c r="J52" s="38"/>
      <c r="K52" s="81">
        <v>14074</v>
      </c>
      <c r="L52" s="81">
        <v>14074</v>
      </c>
      <c r="M52" s="81">
        <f t="shared" si="2"/>
        <v>0</v>
      </c>
    </row>
    <row r="53" spans="1:13" ht="12.75">
      <c r="A53" s="68" t="s">
        <v>174</v>
      </c>
      <c r="B53" s="37"/>
      <c r="C53" s="80" t="s">
        <v>549</v>
      </c>
      <c r="D53" s="38"/>
      <c r="E53" s="38"/>
      <c r="F53" s="38"/>
      <c r="G53" s="38"/>
      <c r="H53" s="38"/>
      <c r="I53" s="38"/>
      <c r="J53" s="38"/>
      <c r="K53" s="81">
        <v>33456</v>
      </c>
      <c r="L53" s="81">
        <f>11700+7869.66+13886.3</f>
        <v>33455.96</v>
      </c>
      <c r="M53" s="81">
        <f t="shared" si="2"/>
        <v>0.040000000000873115</v>
      </c>
    </row>
    <row r="54" spans="1:13" ht="63">
      <c r="A54" s="73" t="s">
        <v>272</v>
      </c>
      <c r="B54" s="65"/>
      <c r="C54" s="66" t="s">
        <v>273</v>
      </c>
      <c r="D54" s="66"/>
      <c r="E54" s="66"/>
      <c r="F54" s="66"/>
      <c r="G54" s="66"/>
      <c r="H54" s="66"/>
      <c r="I54" s="66"/>
      <c r="J54" s="66"/>
      <c r="K54" s="67">
        <f>SUM(K55)</f>
        <v>2000</v>
      </c>
      <c r="L54" s="67">
        <f>L55</f>
        <v>2000</v>
      </c>
      <c r="M54" s="67">
        <f t="shared" si="1"/>
        <v>0</v>
      </c>
    </row>
    <row r="55" spans="1:13" ht="12.75">
      <c r="A55" s="68" t="s">
        <v>274</v>
      </c>
      <c r="B55" s="69"/>
      <c r="C55" s="70" t="s">
        <v>275</v>
      </c>
      <c r="D55" s="70"/>
      <c r="E55" s="70"/>
      <c r="F55" s="70"/>
      <c r="G55" s="70"/>
      <c r="H55" s="70"/>
      <c r="I55" s="70"/>
      <c r="J55" s="70"/>
      <c r="K55" s="71">
        <f>SUM(K56)</f>
        <v>2000</v>
      </c>
      <c r="L55" s="71">
        <f>SUM(L56)</f>
        <v>2000</v>
      </c>
      <c r="M55" s="71">
        <f t="shared" si="1"/>
        <v>0</v>
      </c>
    </row>
    <row r="56" spans="1:13" ht="12.75">
      <c r="A56" s="68" t="s">
        <v>77</v>
      </c>
      <c r="B56" s="69"/>
      <c r="C56" s="70" t="s">
        <v>85</v>
      </c>
      <c r="D56" s="70"/>
      <c r="E56" s="70"/>
      <c r="F56" s="70"/>
      <c r="G56" s="70"/>
      <c r="H56" s="70"/>
      <c r="I56" s="70"/>
      <c r="J56" s="70"/>
      <c r="K56" s="71">
        <f>SUM(K57)</f>
        <v>2000</v>
      </c>
      <c r="L56" s="71">
        <f>SUM(L57)</f>
        <v>2000</v>
      </c>
      <c r="M56" s="71">
        <f>K56-L56</f>
        <v>0</v>
      </c>
    </row>
    <row r="57" spans="1:13" ht="12.75">
      <c r="A57" s="68" t="s">
        <v>87</v>
      </c>
      <c r="B57" s="69"/>
      <c r="C57" s="70" t="s">
        <v>86</v>
      </c>
      <c r="D57" s="70"/>
      <c r="E57" s="70"/>
      <c r="F57" s="70"/>
      <c r="G57" s="70"/>
      <c r="H57" s="70"/>
      <c r="I57" s="70"/>
      <c r="J57" s="70"/>
      <c r="K57" s="71">
        <f>SUM(K58)</f>
        <v>2000</v>
      </c>
      <c r="L57" s="71">
        <f>SUM(L58)</f>
        <v>2000</v>
      </c>
      <c r="M57" s="71">
        <f>K57-L57</f>
        <v>0</v>
      </c>
    </row>
    <row r="58" spans="1:13" ht="22.5">
      <c r="A58" s="68" t="s">
        <v>88</v>
      </c>
      <c r="B58" s="69"/>
      <c r="C58" s="70" t="s">
        <v>67</v>
      </c>
      <c r="D58" s="70"/>
      <c r="E58" s="70"/>
      <c r="F58" s="70"/>
      <c r="G58" s="70"/>
      <c r="H58" s="70"/>
      <c r="I58" s="70"/>
      <c r="J58" s="70"/>
      <c r="K58" s="71">
        <v>2000</v>
      </c>
      <c r="L58" s="71">
        <v>2000</v>
      </c>
      <c r="M58" s="71">
        <f t="shared" si="1"/>
        <v>0</v>
      </c>
    </row>
    <row r="59" spans="1:13" ht="42">
      <c r="A59" s="36" t="s">
        <v>276</v>
      </c>
      <c r="B59" s="37"/>
      <c r="C59" s="38" t="s">
        <v>277</v>
      </c>
      <c r="D59" s="38"/>
      <c r="E59" s="38"/>
      <c r="F59" s="38"/>
      <c r="G59" s="38"/>
      <c r="H59" s="38"/>
      <c r="I59" s="38"/>
      <c r="J59" s="38"/>
      <c r="K59" s="52">
        <f aca="true" t="shared" si="3" ref="K59:K64">SUM(K60)</f>
        <v>106700</v>
      </c>
      <c r="L59" s="52">
        <f>L60</f>
        <v>106700</v>
      </c>
      <c r="M59" s="52">
        <f t="shared" si="1"/>
        <v>0</v>
      </c>
    </row>
    <row r="60" spans="1:13" ht="12.75">
      <c r="A60" s="36" t="s">
        <v>204</v>
      </c>
      <c r="B60" s="37"/>
      <c r="C60" s="38" t="s">
        <v>278</v>
      </c>
      <c r="D60" s="38"/>
      <c r="E60" s="38"/>
      <c r="F60" s="38"/>
      <c r="G60" s="38"/>
      <c r="H60" s="38"/>
      <c r="I60" s="38"/>
      <c r="J60" s="38"/>
      <c r="K60" s="52">
        <f t="shared" si="3"/>
        <v>106700</v>
      </c>
      <c r="L60" s="52">
        <f>L61</f>
        <v>106700</v>
      </c>
      <c r="M60" s="52">
        <f t="shared" si="1"/>
        <v>0</v>
      </c>
    </row>
    <row r="61" spans="1:13" ht="63">
      <c r="A61" s="73" t="s">
        <v>272</v>
      </c>
      <c r="B61" s="65"/>
      <c r="C61" s="66" t="s">
        <v>279</v>
      </c>
      <c r="D61" s="66"/>
      <c r="E61" s="66"/>
      <c r="F61" s="66"/>
      <c r="G61" s="66"/>
      <c r="H61" s="66"/>
      <c r="I61" s="66"/>
      <c r="J61" s="66"/>
      <c r="K61" s="67">
        <f t="shared" si="3"/>
        <v>106700</v>
      </c>
      <c r="L61" s="67">
        <f>L62</f>
        <v>106700</v>
      </c>
      <c r="M61" s="67">
        <f t="shared" si="1"/>
        <v>0</v>
      </c>
    </row>
    <row r="62" spans="1:13" ht="12.75">
      <c r="A62" s="68" t="s">
        <v>274</v>
      </c>
      <c r="B62" s="69"/>
      <c r="C62" s="70" t="s">
        <v>280</v>
      </c>
      <c r="D62" s="70"/>
      <c r="E62" s="70"/>
      <c r="F62" s="70"/>
      <c r="G62" s="70"/>
      <c r="H62" s="70"/>
      <c r="I62" s="70"/>
      <c r="J62" s="70"/>
      <c r="K62" s="71">
        <f t="shared" si="3"/>
        <v>106700</v>
      </c>
      <c r="L62" s="71">
        <f>SUM(L63)</f>
        <v>106700</v>
      </c>
      <c r="M62" s="71">
        <f t="shared" si="1"/>
        <v>0</v>
      </c>
    </row>
    <row r="63" spans="1:13" ht="12.75">
      <c r="A63" s="68" t="s">
        <v>77</v>
      </c>
      <c r="B63" s="69"/>
      <c r="C63" s="70" t="s">
        <v>89</v>
      </c>
      <c r="D63" s="70"/>
      <c r="E63" s="70"/>
      <c r="F63" s="70"/>
      <c r="G63" s="70"/>
      <c r="H63" s="70"/>
      <c r="I63" s="70"/>
      <c r="J63" s="70"/>
      <c r="K63" s="71">
        <f t="shared" si="3"/>
        <v>106700</v>
      </c>
      <c r="L63" s="71">
        <f>SUM(L64)</f>
        <v>106700</v>
      </c>
      <c r="M63" s="71">
        <f t="shared" si="1"/>
        <v>0</v>
      </c>
    </row>
    <row r="64" spans="1:13" ht="12.75">
      <c r="A64" s="68" t="s">
        <v>87</v>
      </c>
      <c r="B64" s="69"/>
      <c r="C64" s="70" t="s">
        <v>90</v>
      </c>
      <c r="D64" s="70"/>
      <c r="E64" s="70"/>
      <c r="F64" s="70"/>
      <c r="G64" s="70"/>
      <c r="H64" s="70"/>
      <c r="I64" s="70"/>
      <c r="J64" s="70"/>
      <c r="K64" s="71">
        <f t="shared" si="3"/>
        <v>106700</v>
      </c>
      <c r="L64" s="71">
        <f>SUM(L65)</f>
        <v>106700</v>
      </c>
      <c r="M64" s="71">
        <f t="shared" si="1"/>
        <v>0</v>
      </c>
    </row>
    <row r="65" spans="1:13" ht="22.5">
      <c r="A65" s="68" t="s">
        <v>88</v>
      </c>
      <c r="B65" s="69"/>
      <c r="C65" s="70" t="s">
        <v>68</v>
      </c>
      <c r="D65" s="70"/>
      <c r="E65" s="70"/>
      <c r="F65" s="70"/>
      <c r="G65" s="70"/>
      <c r="H65" s="70"/>
      <c r="I65" s="70"/>
      <c r="J65" s="70"/>
      <c r="K65" s="71">
        <v>106700</v>
      </c>
      <c r="L65" s="71">
        <v>106700</v>
      </c>
      <c r="M65" s="71">
        <f t="shared" si="1"/>
        <v>0</v>
      </c>
    </row>
    <row r="66" spans="1:13" ht="12.75">
      <c r="A66" s="36" t="s">
        <v>176</v>
      </c>
      <c r="B66" s="37"/>
      <c r="C66" s="38" t="s">
        <v>281</v>
      </c>
      <c r="D66" s="38"/>
      <c r="E66" s="38"/>
      <c r="F66" s="38"/>
      <c r="G66" s="38"/>
      <c r="H66" s="38"/>
      <c r="I66" s="38"/>
      <c r="J66" s="38"/>
      <c r="K66" s="52">
        <f aca="true" t="shared" si="4" ref="K66:L68">K67</f>
        <v>28931.84</v>
      </c>
      <c r="L66" s="52">
        <f t="shared" si="4"/>
        <v>0</v>
      </c>
      <c r="M66" s="52">
        <f t="shared" si="1"/>
        <v>28931.84</v>
      </c>
    </row>
    <row r="67" spans="1:13" ht="12.75">
      <c r="A67" s="36" t="s">
        <v>176</v>
      </c>
      <c r="B67" s="37"/>
      <c r="C67" s="38" t="s">
        <v>282</v>
      </c>
      <c r="D67" s="38"/>
      <c r="E67" s="38"/>
      <c r="F67" s="38"/>
      <c r="G67" s="38"/>
      <c r="H67" s="38"/>
      <c r="I67" s="38"/>
      <c r="J67" s="38"/>
      <c r="K67" s="52">
        <f t="shared" si="4"/>
        <v>28931.84</v>
      </c>
      <c r="L67" s="52">
        <f t="shared" si="4"/>
        <v>0</v>
      </c>
      <c r="M67" s="52">
        <f t="shared" si="1"/>
        <v>28931.84</v>
      </c>
    </row>
    <row r="68" spans="1:13" ht="12.75">
      <c r="A68" s="64" t="s">
        <v>283</v>
      </c>
      <c r="B68" s="65"/>
      <c r="C68" s="66" t="s">
        <v>284</v>
      </c>
      <c r="D68" s="66"/>
      <c r="E68" s="66"/>
      <c r="F68" s="66"/>
      <c r="G68" s="66"/>
      <c r="H68" s="66"/>
      <c r="I68" s="66"/>
      <c r="J68" s="66"/>
      <c r="K68" s="67">
        <f t="shared" si="4"/>
        <v>28931.84</v>
      </c>
      <c r="L68" s="67">
        <f t="shared" si="4"/>
        <v>0</v>
      </c>
      <c r="M68" s="67">
        <f t="shared" si="1"/>
        <v>28931.84</v>
      </c>
    </row>
    <row r="69" spans="1:13" ht="12.75">
      <c r="A69" s="68" t="s">
        <v>167</v>
      </c>
      <c r="B69" s="69"/>
      <c r="C69" s="70" t="s">
        <v>285</v>
      </c>
      <c r="D69" s="70"/>
      <c r="E69" s="70"/>
      <c r="F69" s="70"/>
      <c r="G69" s="70"/>
      <c r="H69" s="70"/>
      <c r="I69" s="70"/>
      <c r="J69" s="70"/>
      <c r="K69" s="71">
        <f>SUM(K70)</f>
        <v>28931.84</v>
      </c>
      <c r="L69" s="71">
        <f>SUM(L70)</f>
        <v>0</v>
      </c>
      <c r="M69" s="71">
        <f t="shared" si="1"/>
        <v>28931.84</v>
      </c>
    </row>
    <row r="70" spans="1:13" ht="12.75">
      <c r="A70" s="68" t="s">
        <v>77</v>
      </c>
      <c r="B70" s="69"/>
      <c r="C70" s="70" t="s">
        <v>91</v>
      </c>
      <c r="D70" s="70"/>
      <c r="E70" s="70"/>
      <c r="F70" s="70"/>
      <c r="G70" s="70"/>
      <c r="H70" s="70"/>
      <c r="I70" s="70"/>
      <c r="J70" s="70"/>
      <c r="K70" s="71">
        <f>SUM(K71)</f>
        <v>28931.84</v>
      </c>
      <c r="L70" s="71">
        <f>SUM(L71)</f>
        <v>0</v>
      </c>
      <c r="M70" s="71">
        <f>SUM(M71)</f>
        <v>28931.84</v>
      </c>
    </row>
    <row r="71" spans="1:13" ht="12.75">
      <c r="A71" s="68" t="s">
        <v>167</v>
      </c>
      <c r="B71" s="69"/>
      <c r="C71" s="70" t="s">
        <v>446</v>
      </c>
      <c r="D71" s="70"/>
      <c r="E71" s="70"/>
      <c r="F71" s="70"/>
      <c r="G71" s="70"/>
      <c r="H71" s="70"/>
      <c r="I71" s="70"/>
      <c r="J71" s="70"/>
      <c r="K71" s="71">
        <v>28931.84</v>
      </c>
      <c r="L71" s="71">
        <v>0</v>
      </c>
      <c r="M71" s="71">
        <f t="shared" si="1"/>
        <v>28931.84</v>
      </c>
    </row>
    <row r="72" spans="1:13" ht="12.75">
      <c r="A72" s="36" t="s">
        <v>286</v>
      </c>
      <c r="B72" s="37"/>
      <c r="C72" s="38" t="s">
        <v>287</v>
      </c>
      <c r="D72" s="38"/>
      <c r="E72" s="38"/>
      <c r="F72" s="38"/>
      <c r="G72" s="38"/>
      <c r="H72" s="38"/>
      <c r="I72" s="38"/>
      <c r="J72" s="38"/>
      <c r="K72" s="52">
        <f>SUM(K73+K86+K92)</f>
        <v>1307000</v>
      </c>
      <c r="L72" s="52">
        <f>SUM(L73+L86+L92)</f>
        <v>1302899.2</v>
      </c>
      <c r="M72" s="52">
        <f t="shared" si="1"/>
        <v>4100.800000000047</v>
      </c>
    </row>
    <row r="73" spans="1:13" ht="31.5">
      <c r="A73" s="36" t="s">
        <v>288</v>
      </c>
      <c r="B73" s="37"/>
      <c r="C73" s="38" t="s">
        <v>289</v>
      </c>
      <c r="D73" s="38"/>
      <c r="E73" s="38"/>
      <c r="F73" s="38"/>
      <c r="G73" s="38"/>
      <c r="H73" s="38"/>
      <c r="I73" s="38"/>
      <c r="J73" s="38"/>
      <c r="K73" s="52">
        <f aca="true" t="shared" si="5" ref="K73:K78">SUM(K74)</f>
        <v>334400</v>
      </c>
      <c r="L73" s="52">
        <f>L74</f>
        <v>334399.2</v>
      </c>
      <c r="M73" s="52">
        <f t="shared" si="1"/>
        <v>0.7999999999883585</v>
      </c>
    </row>
    <row r="74" spans="1:13" ht="21">
      <c r="A74" s="36" t="s">
        <v>290</v>
      </c>
      <c r="B74" s="37"/>
      <c r="C74" s="38" t="s">
        <v>291</v>
      </c>
      <c r="D74" s="38"/>
      <c r="E74" s="38"/>
      <c r="F74" s="38"/>
      <c r="G74" s="38"/>
      <c r="H74" s="38"/>
      <c r="I74" s="38"/>
      <c r="J74" s="38"/>
      <c r="K74" s="52">
        <f>K75+K80</f>
        <v>334400</v>
      </c>
      <c r="L74" s="52">
        <f>L75+L80</f>
        <v>334399.2</v>
      </c>
      <c r="M74" s="52">
        <f t="shared" si="1"/>
        <v>0.7999999999883585</v>
      </c>
    </row>
    <row r="75" spans="1:13" ht="21">
      <c r="A75" s="64" t="s">
        <v>292</v>
      </c>
      <c r="B75" s="65"/>
      <c r="C75" s="66" t="s">
        <v>293</v>
      </c>
      <c r="D75" s="66"/>
      <c r="E75" s="66"/>
      <c r="F75" s="66"/>
      <c r="G75" s="66"/>
      <c r="H75" s="66"/>
      <c r="I75" s="66"/>
      <c r="J75" s="66"/>
      <c r="K75" s="67">
        <f t="shared" si="5"/>
        <v>259400</v>
      </c>
      <c r="L75" s="67">
        <f>L76</f>
        <v>259399.2</v>
      </c>
      <c r="M75" s="67">
        <f t="shared" si="1"/>
        <v>0.7999999999883585</v>
      </c>
    </row>
    <row r="76" spans="1:13" ht="22.5">
      <c r="A76" s="68" t="s">
        <v>266</v>
      </c>
      <c r="B76" s="69"/>
      <c r="C76" s="70" t="s">
        <v>294</v>
      </c>
      <c r="D76" s="70"/>
      <c r="E76" s="70"/>
      <c r="F76" s="70"/>
      <c r="G76" s="70"/>
      <c r="H76" s="70"/>
      <c r="I76" s="70"/>
      <c r="J76" s="70"/>
      <c r="K76" s="71">
        <f t="shared" si="5"/>
        <v>259400</v>
      </c>
      <c r="L76" s="71">
        <f>SUM(L77)</f>
        <v>259399.2</v>
      </c>
      <c r="M76" s="71">
        <f t="shared" si="1"/>
        <v>0.7999999999883585</v>
      </c>
    </row>
    <row r="77" spans="1:13" ht="12.75">
      <c r="A77" s="68" t="s">
        <v>77</v>
      </c>
      <c r="B77" s="69"/>
      <c r="C77" s="70" t="s">
        <v>92</v>
      </c>
      <c r="D77" s="70"/>
      <c r="E77" s="70"/>
      <c r="F77" s="70"/>
      <c r="G77" s="70"/>
      <c r="H77" s="70"/>
      <c r="I77" s="70"/>
      <c r="J77" s="70"/>
      <c r="K77" s="71">
        <f t="shared" si="5"/>
        <v>259400</v>
      </c>
      <c r="L77" s="71">
        <f>SUM(L78)</f>
        <v>259399.2</v>
      </c>
      <c r="M77" s="71">
        <f t="shared" si="1"/>
        <v>0.7999999999883585</v>
      </c>
    </row>
    <row r="78" spans="1:13" ht="12.75">
      <c r="A78" s="68" t="s">
        <v>81</v>
      </c>
      <c r="B78" s="69"/>
      <c r="C78" s="70" t="s">
        <v>93</v>
      </c>
      <c r="D78" s="70"/>
      <c r="E78" s="70"/>
      <c r="F78" s="70"/>
      <c r="G78" s="70"/>
      <c r="H78" s="70"/>
      <c r="I78" s="70"/>
      <c r="J78" s="70"/>
      <c r="K78" s="71">
        <f t="shared" si="5"/>
        <v>259400</v>
      </c>
      <c r="L78" s="71">
        <f>SUM(L79)</f>
        <v>259399.2</v>
      </c>
      <c r="M78" s="71">
        <f t="shared" si="1"/>
        <v>0.7999999999883585</v>
      </c>
    </row>
    <row r="79" spans="1:13" ht="12.75">
      <c r="A79" s="68" t="s">
        <v>172</v>
      </c>
      <c r="B79" s="69"/>
      <c r="C79" s="70" t="s">
        <v>448</v>
      </c>
      <c r="D79" s="70"/>
      <c r="E79" s="70"/>
      <c r="F79" s="70"/>
      <c r="G79" s="70"/>
      <c r="H79" s="70"/>
      <c r="I79" s="70"/>
      <c r="J79" s="70"/>
      <c r="K79" s="71">
        <v>259400</v>
      </c>
      <c r="L79" s="71">
        <f>157050+17450+84899.2</f>
        <v>259399.2</v>
      </c>
      <c r="M79" s="71">
        <f t="shared" si="1"/>
        <v>0.7999999999883585</v>
      </c>
    </row>
    <row r="80" spans="1:13" ht="12.75">
      <c r="A80" s="36" t="s">
        <v>631</v>
      </c>
      <c r="B80" s="69"/>
      <c r="C80" s="66" t="s">
        <v>632</v>
      </c>
      <c r="D80" s="66"/>
      <c r="E80" s="66"/>
      <c r="F80" s="66"/>
      <c r="G80" s="66"/>
      <c r="H80" s="66"/>
      <c r="I80" s="66"/>
      <c r="J80" s="66"/>
      <c r="K80" s="67">
        <f>K81</f>
        <v>75000</v>
      </c>
      <c r="L80" s="67">
        <f>L81</f>
        <v>75000</v>
      </c>
      <c r="M80" s="67">
        <f t="shared" si="1"/>
        <v>0</v>
      </c>
    </row>
    <row r="81" spans="1:13" ht="22.5">
      <c r="A81" s="68" t="s">
        <v>266</v>
      </c>
      <c r="B81" s="69"/>
      <c r="C81" s="70" t="s">
        <v>626</v>
      </c>
      <c r="D81" s="70"/>
      <c r="E81" s="70"/>
      <c r="F81" s="70"/>
      <c r="G81" s="70"/>
      <c r="H81" s="70"/>
      <c r="I81" s="70"/>
      <c r="J81" s="70"/>
      <c r="K81" s="71">
        <f>K82</f>
        <v>75000</v>
      </c>
      <c r="L81" s="71">
        <f>L82</f>
        <v>75000</v>
      </c>
      <c r="M81" s="71">
        <f t="shared" si="1"/>
        <v>0</v>
      </c>
    </row>
    <row r="82" spans="1:13" ht="12.75">
      <c r="A82" s="68" t="s">
        <v>77</v>
      </c>
      <c r="B82" s="69"/>
      <c r="C82" s="70" t="s">
        <v>627</v>
      </c>
      <c r="D82" s="70"/>
      <c r="E82" s="70"/>
      <c r="F82" s="70"/>
      <c r="G82" s="70"/>
      <c r="H82" s="70"/>
      <c r="I82" s="70"/>
      <c r="J82" s="70"/>
      <c r="K82" s="71">
        <f>K83+K85</f>
        <v>75000</v>
      </c>
      <c r="L82" s="71">
        <f>L83+L85</f>
        <v>75000</v>
      </c>
      <c r="M82" s="71">
        <f t="shared" si="1"/>
        <v>0</v>
      </c>
    </row>
    <row r="83" spans="1:13" ht="12.75">
      <c r="A83" s="68" t="s">
        <v>81</v>
      </c>
      <c r="B83" s="69"/>
      <c r="C83" s="70" t="s">
        <v>628</v>
      </c>
      <c r="D83" s="70"/>
      <c r="E83" s="70"/>
      <c r="F83" s="70"/>
      <c r="G83" s="70"/>
      <c r="H83" s="70"/>
      <c r="I83" s="70"/>
      <c r="J83" s="70"/>
      <c r="K83" s="71">
        <f>K84</f>
        <v>25000</v>
      </c>
      <c r="L83" s="71">
        <f>L84</f>
        <v>25000</v>
      </c>
      <c r="M83" s="71">
        <f t="shared" si="1"/>
        <v>0</v>
      </c>
    </row>
    <row r="84" spans="1:13" ht="12.75">
      <c r="A84" s="68" t="s">
        <v>172</v>
      </c>
      <c r="B84" s="69"/>
      <c r="C84" s="70" t="s">
        <v>629</v>
      </c>
      <c r="D84" s="70"/>
      <c r="E84" s="70"/>
      <c r="F84" s="70"/>
      <c r="G84" s="70"/>
      <c r="H84" s="70"/>
      <c r="I84" s="70"/>
      <c r="J84" s="70"/>
      <c r="K84" s="71">
        <v>25000</v>
      </c>
      <c r="L84" s="71">
        <f>12500+12500</f>
        <v>25000</v>
      </c>
      <c r="M84" s="71">
        <f t="shared" si="1"/>
        <v>0</v>
      </c>
    </row>
    <row r="85" spans="1:13" ht="12.75">
      <c r="A85" s="68" t="s">
        <v>167</v>
      </c>
      <c r="B85" s="69"/>
      <c r="C85" s="70" t="s">
        <v>630</v>
      </c>
      <c r="D85" s="70"/>
      <c r="E85" s="70"/>
      <c r="F85" s="70"/>
      <c r="G85" s="70"/>
      <c r="H85" s="70"/>
      <c r="I85" s="70"/>
      <c r="J85" s="70"/>
      <c r="K85" s="71">
        <v>50000</v>
      </c>
      <c r="L85" s="71">
        <v>50000</v>
      </c>
      <c r="M85" s="71">
        <f t="shared" si="1"/>
        <v>0</v>
      </c>
    </row>
    <row r="86" spans="1:13" ht="12.75">
      <c r="A86" s="36" t="s">
        <v>204</v>
      </c>
      <c r="B86" s="37"/>
      <c r="C86" s="38" t="s">
        <v>295</v>
      </c>
      <c r="D86" s="38"/>
      <c r="E86" s="38"/>
      <c r="F86" s="38"/>
      <c r="G86" s="38"/>
      <c r="H86" s="38"/>
      <c r="I86" s="38"/>
      <c r="J86" s="38"/>
      <c r="K86" s="52">
        <f>SUM(K87)</f>
        <v>951600</v>
      </c>
      <c r="L86" s="52">
        <f>L87</f>
        <v>951600</v>
      </c>
      <c r="M86" s="52">
        <f t="shared" si="1"/>
        <v>0</v>
      </c>
    </row>
    <row r="87" spans="1:13" ht="63">
      <c r="A87" s="73" t="s">
        <v>272</v>
      </c>
      <c r="B87" s="65"/>
      <c r="C87" s="66" t="s">
        <v>296</v>
      </c>
      <c r="D87" s="66"/>
      <c r="E87" s="66"/>
      <c r="F87" s="66"/>
      <c r="G87" s="66"/>
      <c r="H87" s="66"/>
      <c r="I87" s="66"/>
      <c r="J87" s="66"/>
      <c r="K87" s="67">
        <f>SUM(K88)</f>
        <v>951600</v>
      </c>
      <c r="L87" s="67">
        <f>L88</f>
        <v>951600</v>
      </c>
      <c r="M87" s="67">
        <f t="shared" si="1"/>
        <v>0</v>
      </c>
    </row>
    <row r="88" spans="1:13" ht="12.75">
      <c r="A88" s="68" t="s">
        <v>274</v>
      </c>
      <c r="B88" s="69"/>
      <c r="C88" s="70" t="s">
        <v>297</v>
      </c>
      <c r="D88" s="70"/>
      <c r="E88" s="70"/>
      <c r="F88" s="70"/>
      <c r="G88" s="70"/>
      <c r="H88" s="70"/>
      <c r="I88" s="70"/>
      <c r="J88" s="70"/>
      <c r="K88" s="71">
        <f>SUM(K89)</f>
        <v>951600</v>
      </c>
      <c r="L88" s="71">
        <f>SUM(L89)</f>
        <v>951600</v>
      </c>
      <c r="M88" s="71">
        <f t="shared" si="1"/>
        <v>0</v>
      </c>
    </row>
    <row r="89" spans="1:13" ht="12.75">
      <c r="A89" s="68" t="s">
        <v>77</v>
      </c>
      <c r="B89" s="69"/>
      <c r="C89" s="70" t="s">
        <v>94</v>
      </c>
      <c r="D89" s="70"/>
      <c r="E89" s="70"/>
      <c r="F89" s="70"/>
      <c r="G89" s="70"/>
      <c r="H89" s="70"/>
      <c r="I89" s="70"/>
      <c r="J89" s="70"/>
      <c r="K89" s="71">
        <f>SUM(K90)</f>
        <v>951600</v>
      </c>
      <c r="L89" s="71">
        <f>SUM(L90)</f>
        <v>951600</v>
      </c>
      <c r="M89" s="71">
        <f t="shared" si="1"/>
        <v>0</v>
      </c>
    </row>
    <row r="90" spans="1:13" ht="12.75">
      <c r="A90" s="68" t="s">
        <v>87</v>
      </c>
      <c r="B90" s="69"/>
      <c r="C90" s="70" t="s">
        <v>95</v>
      </c>
      <c r="D90" s="70"/>
      <c r="E90" s="70"/>
      <c r="F90" s="70"/>
      <c r="G90" s="70"/>
      <c r="H90" s="70"/>
      <c r="I90" s="70"/>
      <c r="J90" s="70"/>
      <c r="K90" s="71">
        <f>SUM(K91)</f>
        <v>951600</v>
      </c>
      <c r="L90" s="71">
        <f>SUM(L91)</f>
        <v>951600</v>
      </c>
      <c r="M90" s="71">
        <f t="shared" si="1"/>
        <v>0</v>
      </c>
    </row>
    <row r="91" spans="1:13" ht="22.5">
      <c r="A91" s="68" t="s">
        <v>88</v>
      </c>
      <c r="B91" s="69"/>
      <c r="C91" s="70" t="s">
        <v>69</v>
      </c>
      <c r="D91" s="70"/>
      <c r="E91" s="70"/>
      <c r="F91" s="70"/>
      <c r="G91" s="70"/>
      <c r="H91" s="70"/>
      <c r="I91" s="70"/>
      <c r="J91" s="70"/>
      <c r="K91" s="71">
        <v>951600</v>
      </c>
      <c r="L91" s="71">
        <v>951600</v>
      </c>
      <c r="M91" s="71">
        <f t="shared" si="1"/>
        <v>0</v>
      </c>
    </row>
    <row r="92" spans="1:13" ht="42">
      <c r="A92" s="36" t="s">
        <v>633</v>
      </c>
      <c r="B92" s="69"/>
      <c r="C92" s="66" t="s">
        <v>635</v>
      </c>
      <c r="D92" s="66"/>
      <c r="E92" s="66"/>
      <c r="F92" s="66"/>
      <c r="G92" s="66"/>
      <c r="H92" s="66"/>
      <c r="I92" s="66"/>
      <c r="J92" s="66"/>
      <c r="K92" s="67">
        <f aca="true" t="shared" si="6" ref="K92:L96">K93</f>
        <v>21000</v>
      </c>
      <c r="L92" s="67">
        <f t="shared" si="6"/>
        <v>16900</v>
      </c>
      <c r="M92" s="67">
        <f t="shared" si="1"/>
        <v>4100</v>
      </c>
    </row>
    <row r="93" spans="1:13" ht="78.75">
      <c r="A93" s="92" t="s">
        <v>634</v>
      </c>
      <c r="B93" s="69"/>
      <c r="C93" s="66" t="s">
        <v>636</v>
      </c>
      <c r="D93" s="66"/>
      <c r="E93" s="66"/>
      <c r="F93" s="66"/>
      <c r="G93" s="66"/>
      <c r="H93" s="66"/>
      <c r="I93" s="66"/>
      <c r="J93" s="66"/>
      <c r="K93" s="67">
        <f t="shared" si="6"/>
        <v>21000</v>
      </c>
      <c r="L93" s="67">
        <f t="shared" si="6"/>
        <v>16900</v>
      </c>
      <c r="M93" s="67">
        <f t="shared" si="1"/>
        <v>4100</v>
      </c>
    </row>
    <row r="94" spans="1:13" ht="22.5">
      <c r="A94" s="39" t="s">
        <v>266</v>
      </c>
      <c r="B94" s="69"/>
      <c r="C94" s="70" t="s">
        <v>637</v>
      </c>
      <c r="D94" s="70"/>
      <c r="E94" s="70"/>
      <c r="F94" s="70"/>
      <c r="G94" s="70"/>
      <c r="H94" s="70"/>
      <c r="I94" s="70"/>
      <c r="J94" s="70"/>
      <c r="K94" s="71">
        <f t="shared" si="6"/>
        <v>21000</v>
      </c>
      <c r="L94" s="71">
        <f t="shared" si="6"/>
        <v>16900</v>
      </c>
      <c r="M94" s="71">
        <f t="shared" si="1"/>
        <v>4100</v>
      </c>
    </row>
    <row r="95" spans="1:13" ht="12.75">
      <c r="A95" s="68" t="s">
        <v>77</v>
      </c>
      <c r="B95" s="69"/>
      <c r="C95" s="70" t="s">
        <v>638</v>
      </c>
      <c r="D95" s="70"/>
      <c r="E95" s="70"/>
      <c r="F95" s="70"/>
      <c r="G95" s="70"/>
      <c r="H95" s="70"/>
      <c r="I95" s="70"/>
      <c r="J95" s="70"/>
      <c r="K95" s="71">
        <f t="shared" si="6"/>
        <v>21000</v>
      </c>
      <c r="L95" s="71">
        <f t="shared" si="6"/>
        <v>16900</v>
      </c>
      <c r="M95" s="71">
        <f t="shared" si="1"/>
        <v>4100</v>
      </c>
    </row>
    <row r="96" spans="1:13" ht="12.75">
      <c r="A96" s="68" t="s">
        <v>81</v>
      </c>
      <c r="B96" s="69"/>
      <c r="C96" s="70" t="s">
        <v>639</v>
      </c>
      <c r="D96" s="70"/>
      <c r="E96" s="70"/>
      <c r="F96" s="70"/>
      <c r="G96" s="70"/>
      <c r="H96" s="70"/>
      <c r="I96" s="70"/>
      <c r="J96" s="70"/>
      <c r="K96" s="71">
        <f t="shared" si="6"/>
        <v>21000</v>
      </c>
      <c r="L96" s="71">
        <f t="shared" si="6"/>
        <v>16900</v>
      </c>
      <c r="M96" s="71">
        <f t="shared" si="1"/>
        <v>4100</v>
      </c>
    </row>
    <row r="97" spans="1:13" ht="12.75">
      <c r="A97" s="68" t="s">
        <v>172</v>
      </c>
      <c r="B97" s="69"/>
      <c r="C97" s="70" t="s">
        <v>640</v>
      </c>
      <c r="D97" s="70"/>
      <c r="E97" s="70"/>
      <c r="F97" s="70"/>
      <c r="G97" s="70"/>
      <c r="H97" s="70"/>
      <c r="I97" s="70"/>
      <c r="J97" s="70"/>
      <c r="K97" s="71">
        <v>21000</v>
      </c>
      <c r="L97" s="71">
        <f>14000+2900</f>
        <v>16900</v>
      </c>
      <c r="M97" s="71">
        <f t="shared" si="1"/>
        <v>4100</v>
      </c>
    </row>
    <row r="98" spans="1:13" ht="12.75">
      <c r="A98" s="41" t="s">
        <v>298</v>
      </c>
      <c r="B98" s="42"/>
      <c r="C98" s="43" t="s">
        <v>299</v>
      </c>
      <c r="D98" s="43"/>
      <c r="E98" s="43"/>
      <c r="F98" s="43"/>
      <c r="G98" s="43"/>
      <c r="H98" s="43"/>
      <c r="I98" s="43"/>
      <c r="J98" s="43"/>
      <c r="K98" s="54">
        <f aca="true" t="shared" si="7" ref="K98:L101">K99</f>
        <v>390243</v>
      </c>
      <c r="L98" s="52">
        <f t="shared" si="7"/>
        <v>390243</v>
      </c>
      <c r="M98" s="52">
        <f t="shared" si="1"/>
        <v>0</v>
      </c>
    </row>
    <row r="99" spans="1:13" ht="21">
      <c r="A99" s="36" t="s">
        <v>177</v>
      </c>
      <c r="B99" s="37"/>
      <c r="C99" s="38" t="s">
        <v>300</v>
      </c>
      <c r="D99" s="49"/>
      <c r="E99" s="49"/>
      <c r="F99" s="49"/>
      <c r="G99" s="49"/>
      <c r="H99" s="49"/>
      <c r="I99" s="49"/>
      <c r="J99" s="49"/>
      <c r="K99" s="52">
        <f t="shared" si="7"/>
        <v>390243</v>
      </c>
      <c r="L99" s="52">
        <f t="shared" si="7"/>
        <v>390243</v>
      </c>
      <c r="M99" s="52">
        <f t="shared" si="1"/>
        <v>0</v>
      </c>
    </row>
    <row r="100" spans="1:13" ht="21">
      <c r="A100" s="36" t="s">
        <v>301</v>
      </c>
      <c r="B100" s="37"/>
      <c r="C100" s="38" t="s">
        <v>302</v>
      </c>
      <c r="D100" s="49"/>
      <c r="E100" s="49"/>
      <c r="F100" s="49"/>
      <c r="G100" s="49"/>
      <c r="H100" s="49"/>
      <c r="I100" s="49"/>
      <c r="J100" s="49"/>
      <c r="K100" s="52">
        <f t="shared" si="7"/>
        <v>390243</v>
      </c>
      <c r="L100" s="52">
        <f t="shared" si="7"/>
        <v>390243</v>
      </c>
      <c r="M100" s="52">
        <f t="shared" si="1"/>
        <v>0</v>
      </c>
    </row>
    <row r="101" spans="1:13" ht="31.5">
      <c r="A101" s="64" t="s">
        <v>303</v>
      </c>
      <c r="B101" s="65"/>
      <c r="C101" s="66" t="s">
        <v>304</v>
      </c>
      <c r="D101" s="70"/>
      <c r="E101" s="70"/>
      <c r="F101" s="70"/>
      <c r="G101" s="70"/>
      <c r="H101" s="70"/>
      <c r="I101" s="70"/>
      <c r="J101" s="70"/>
      <c r="K101" s="67">
        <f t="shared" si="7"/>
        <v>390243</v>
      </c>
      <c r="L101" s="67">
        <f t="shared" si="7"/>
        <v>390243</v>
      </c>
      <c r="M101" s="67">
        <f t="shared" si="1"/>
        <v>0</v>
      </c>
    </row>
    <row r="102" spans="1:14" ht="22.5">
      <c r="A102" s="68" t="s">
        <v>266</v>
      </c>
      <c r="B102" s="72"/>
      <c r="C102" s="70" t="s">
        <v>305</v>
      </c>
      <c r="D102" s="70"/>
      <c r="E102" s="70"/>
      <c r="F102" s="70"/>
      <c r="G102" s="70"/>
      <c r="H102" s="70"/>
      <c r="I102" s="70"/>
      <c r="J102" s="70"/>
      <c r="K102" s="71">
        <f>SUM(K103)</f>
        <v>390243</v>
      </c>
      <c r="L102" s="71">
        <f>SUM(L103)</f>
        <v>390243</v>
      </c>
      <c r="M102" s="71">
        <f t="shared" si="1"/>
        <v>0</v>
      </c>
      <c r="N102" s="57"/>
    </row>
    <row r="103" spans="1:14" ht="12.75">
      <c r="A103" s="68" t="s">
        <v>77</v>
      </c>
      <c r="B103" s="72"/>
      <c r="C103" s="70" t="s">
        <v>96</v>
      </c>
      <c r="D103" s="70"/>
      <c r="E103" s="70"/>
      <c r="F103" s="70"/>
      <c r="G103" s="70"/>
      <c r="H103" s="70"/>
      <c r="I103" s="70"/>
      <c r="J103" s="70"/>
      <c r="K103" s="71">
        <f>SUM(K104+K107)</f>
        <v>390243</v>
      </c>
      <c r="L103" s="71">
        <f>SUM(L104+L107)</f>
        <v>390243</v>
      </c>
      <c r="M103" s="71">
        <f t="shared" si="1"/>
        <v>0</v>
      </c>
      <c r="N103" s="57"/>
    </row>
    <row r="104" spans="1:14" ht="22.5">
      <c r="A104" s="68" t="s">
        <v>80</v>
      </c>
      <c r="B104" s="72"/>
      <c r="C104" s="70" t="s">
        <v>97</v>
      </c>
      <c r="D104" s="70"/>
      <c r="E104" s="70"/>
      <c r="F104" s="70"/>
      <c r="G104" s="70"/>
      <c r="H104" s="70"/>
      <c r="I104" s="70"/>
      <c r="J104" s="70"/>
      <c r="K104" s="71">
        <f>SUM(K105:K106)</f>
        <v>386785</v>
      </c>
      <c r="L104" s="71">
        <f>SUM(L105:L106)</f>
        <v>386785</v>
      </c>
      <c r="M104" s="71">
        <f t="shared" si="1"/>
        <v>0</v>
      </c>
      <c r="N104" s="57"/>
    </row>
    <row r="105" spans="1:14" ht="12.75">
      <c r="A105" s="68" t="s">
        <v>165</v>
      </c>
      <c r="B105" s="72"/>
      <c r="C105" s="70" t="s">
        <v>443</v>
      </c>
      <c r="D105" s="70"/>
      <c r="E105" s="70"/>
      <c r="F105" s="70"/>
      <c r="G105" s="70"/>
      <c r="H105" s="70"/>
      <c r="I105" s="70"/>
      <c r="J105" s="70"/>
      <c r="K105" s="71">
        <f>301576.67</f>
        <v>301576.67</v>
      </c>
      <c r="L105" s="71">
        <f>202584.16+24650+70220.83+4121.68</f>
        <v>301576.67</v>
      </c>
      <c r="M105" s="71">
        <f t="shared" si="1"/>
        <v>0</v>
      </c>
      <c r="N105" s="137">
        <v>211</v>
      </c>
    </row>
    <row r="106" spans="1:14" ht="12.75">
      <c r="A106" s="68" t="s">
        <v>166</v>
      </c>
      <c r="B106" s="72"/>
      <c r="C106" s="70" t="s">
        <v>444</v>
      </c>
      <c r="D106" s="70"/>
      <c r="E106" s="70"/>
      <c r="F106" s="70"/>
      <c r="G106" s="70"/>
      <c r="H106" s="70"/>
      <c r="I106" s="70"/>
      <c r="J106" s="70"/>
      <c r="K106" s="71">
        <f>85208.33</f>
        <v>85208.33</v>
      </c>
      <c r="L106" s="71">
        <f>63845.44+7197+18287.57-4121.68</f>
        <v>85208.33000000002</v>
      </c>
      <c r="M106" s="71">
        <f t="shared" si="1"/>
        <v>0</v>
      </c>
      <c r="N106" s="137">
        <v>213</v>
      </c>
    </row>
    <row r="107" spans="1:13" ht="12.75">
      <c r="A107" s="68" t="s">
        <v>81</v>
      </c>
      <c r="B107" s="72"/>
      <c r="C107" s="70" t="s">
        <v>98</v>
      </c>
      <c r="D107" s="70"/>
      <c r="E107" s="70"/>
      <c r="F107" s="70"/>
      <c r="G107" s="70"/>
      <c r="H107" s="70"/>
      <c r="I107" s="70"/>
      <c r="J107" s="70"/>
      <c r="K107" s="71">
        <f>SUM(K108)</f>
        <v>3458</v>
      </c>
      <c r="L107" s="71">
        <f>SUM(L108)</f>
        <v>3458</v>
      </c>
      <c r="M107" s="71">
        <f t="shared" si="1"/>
        <v>0</v>
      </c>
    </row>
    <row r="108" spans="1:13" ht="12.75">
      <c r="A108" s="68" t="s">
        <v>170</v>
      </c>
      <c r="B108" s="72"/>
      <c r="C108" s="70" t="s">
        <v>445</v>
      </c>
      <c r="D108" s="70"/>
      <c r="E108" s="70"/>
      <c r="F108" s="70"/>
      <c r="G108" s="70"/>
      <c r="H108" s="70"/>
      <c r="I108" s="70"/>
      <c r="J108" s="70"/>
      <c r="K108" s="71">
        <v>3458</v>
      </c>
      <c r="L108" s="71">
        <f>2358+480+620</f>
        <v>3458</v>
      </c>
      <c r="M108" s="71">
        <f t="shared" si="1"/>
        <v>0</v>
      </c>
    </row>
    <row r="109" spans="1:13" ht="21">
      <c r="A109" s="36" t="s">
        <v>306</v>
      </c>
      <c r="B109" s="37"/>
      <c r="C109" s="38" t="s">
        <v>307</v>
      </c>
      <c r="D109" s="38"/>
      <c r="E109" s="38"/>
      <c r="F109" s="38"/>
      <c r="G109" s="38"/>
      <c r="H109" s="38"/>
      <c r="I109" s="38"/>
      <c r="J109" s="38"/>
      <c r="K109" s="52">
        <f>K117+K110</f>
        <v>436400</v>
      </c>
      <c r="L109" s="52">
        <f>L117+L110</f>
        <v>285222</v>
      </c>
      <c r="M109" s="52">
        <f t="shared" si="1"/>
        <v>151178</v>
      </c>
    </row>
    <row r="110" spans="1:13" ht="42">
      <c r="A110" s="36" t="s">
        <v>34</v>
      </c>
      <c r="B110" s="45"/>
      <c r="C110" s="38" t="s">
        <v>308</v>
      </c>
      <c r="D110" s="49"/>
      <c r="E110" s="49"/>
      <c r="F110" s="49"/>
      <c r="G110" s="49"/>
      <c r="H110" s="49"/>
      <c r="I110" s="49"/>
      <c r="J110" s="49"/>
      <c r="K110" s="52">
        <f aca="true" t="shared" si="8" ref="K110:L112">K111</f>
        <v>106100</v>
      </c>
      <c r="L110" s="52">
        <f t="shared" si="8"/>
        <v>106100</v>
      </c>
      <c r="M110" s="52">
        <f t="shared" si="1"/>
        <v>0</v>
      </c>
    </row>
    <row r="111" spans="1:13" ht="31.5">
      <c r="A111" s="36" t="s">
        <v>309</v>
      </c>
      <c r="B111" s="45"/>
      <c r="C111" s="38" t="s">
        <v>310</v>
      </c>
      <c r="D111" s="49"/>
      <c r="E111" s="49"/>
      <c r="F111" s="49"/>
      <c r="G111" s="49"/>
      <c r="H111" s="49"/>
      <c r="I111" s="49"/>
      <c r="J111" s="49"/>
      <c r="K111" s="52">
        <f t="shared" si="8"/>
        <v>106100</v>
      </c>
      <c r="L111" s="52">
        <f t="shared" si="8"/>
        <v>106100</v>
      </c>
      <c r="M111" s="52">
        <f t="shared" si="1"/>
        <v>0</v>
      </c>
    </row>
    <row r="112" spans="1:13" ht="42">
      <c r="A112" s="64" t="s">
        <v>311</v>
      </c>
      <c r="B112" s="74"/>
      <c r="C112" s="66" t="s">
        <v>312</v>
      </c>
      <c r="D112" s="66"/>
      <c r="E112" s="66"/>
      <c r="F112" s="66"/>
      <c r="G112" s="66"/>
      <c r="H112" s="66"/>
      <c r="I112" s="66"/>
      <c r="J112" s="66"/>
      <c r="K112" s="67">
        <f t="shared" si="8"/>
        <v>106100</v>
      </c>
      <c r="L112" s="67">
        <f t="shared" si="8"/>
        <v>106100</v>
      </c>
      <c r="M112" s="67">
        <f t="shared" si="1"/>
        <v>0</v>
      </c>
    </row>
    <row r="113" spans="1:13" ht="22.5">
      <c r="A113" s="68" t="s">
        <v>313</v>
      </c>
      <c r="B113" s="74"/>
      <c r="C113" s="70" t="s">
        <v>314</v>
      </c>
      <c r="D113" s="70"/>
      <c r="E113" s="70"/>
      <c r="F113" s="70"/>
      <c r="G113" s="70"/>
      <c r="H113" s="70"/>
      <c r="I113" s="70"/>
      <c r="J113" s="70"/>
      <c r="K113" s="71">
        <f aca="true" t="shared" si="9" ref="K113:L115">SUM(K114)</f>
        <v>106100</v>
      </c>
      <c r="L113" s="71">
        <f t="shared" si="9"/>
        <v>106100</v>
      </c>
      <c r="M113" s="71">
        <f t="shared" si="1"/>
        <v>0</v>
      </c>
    </row>
    <row r="114" spans="1:13" ht="12.75">
      <c r="A114" s="68" t="s">
        <v>77</v>
      </c>
      <c r="B114" s="74"/>
      <c r="C114" s="70" t="s">
        <v>99</v>
      </c>
      <c r="D114" s="70"/>
      <c r="E114" s="70"/>
      <c r="F114" s="70"/>
      <c r="G114" s="70"/>
      <c r="H114" s="70"/>
      <c r="I114" s="70"/>
      <c r="J114" s="70"/>
      <c r="K114" s="71">
        <f t="shared" si="9"/>
        <v>106100</v>
      </c>
      <c r="L114" s="71">
        <f t="shared" si="9"/>
        <v>106100</v>
      </c>
      <c r="M114" s="71">
        <f t="shared" si="1"/>
        <v>0</v>
      </c>
    </row>
    <row r="115" spans="1:13" ht="12.75">
      <c r="A115" s="68" t="s">
        <v>81</v>
      </c>
      <c r="B115" s="74"/>
      <c r="C115" s="70" t="s">
        <v>100</v>
      </c>
      <c r="D115" s="70"/>
      <c r="E115" s="70"/>
      <c r="F115" s="70"/>
      <c r="G115" s="70"/>
      <c r="H115" s="70"/>
      <c r="I115" s="70"/>
      <c r="J115" s="70"/>
      <c r="K115" s="71">
        <f t="shared" si="9"/>
        <v>106100</v>
      </c>
      <c r="L115" s="71">
        <f t="shared" si="9"/>
        <v>106100</v>
      </c>
      <c r="M115" s="71">
        <f t="shared" si="1"/>
        <v>0</v>
      </c>
    </row>
    <row r="116" spans="1:13" ht="12.75">
      <c r="A116" s="68" t="s">
        <v>172</v>
      </c>
      <c r="B116" s="74"/>
      <c r="C116" s="70" t="s">
        <v>447</v>
      </c>
      <c r="D116" s="70"/>
      <c r="E116" s="70"/>
      <c r="F116" s="70"/>
      <c r="G116" s="70"/>
      <c r="H116" s="70"/>
      <c r="I116" s="70"/>
      <c r="J116" s="70"/>
      <c r="K116" s="71">
        <v>106100</v>
      </c>
      <c r="L116" s="71">
        <f>85400+6900+13800</f>
        <v>106100</v>
      </c>
      <c r="M116" s="71">
        <f t="shared" si="1"/>
        <v>0</v>
      </c>
    </row>
    <row r="117" spans="1:13" ht="12.75">
      <c r="A117" s="36" t="s">
        <v>178</v>
      </c>
      <c r="B117" s="45"/>
      <c r="C117" s="38" t="s">
        <v>315</v>
      </c>
      <c r="D117" s="49"/>
      <c r="E117" s="49"/>
      <c r="F117" s="49"/>
      <c r="G117" s="49"/>
      <c r="H117" s="49"/>
      <c r="I117" s="49"/>
      <c r="J117" s="49"/>
      <c r="K117" s="52">
        <f>K118+K127</f>
        <v>330300</v>
      </c>
      <c r="L117" s="52">
        <f>L118+L127</f>
        <v>179122</v>
      </c>
      <c r="M117" s="52">
        <f t="shared" si="1"/>
        <v>151178</v>
      </c>
    </row>
    <row r="118" spans="1:13" ht="31.5">
      <c r="A118" s="36" t="s">
        <v>23</v>
      </c>
      <c r="B118" s="45"/>
      <c r="C118" s="38" t="s">
        <v>22</v>
      </c>
      <c r="D118" s="49"/>
      <c r="E118" s="49"/>
      <c r="F118" s="49"/>
      <c r="G118" s="49"/>
      <c r="H118" s="49"/>
      <c r="I118" s="49"/>
      <c r="J118" s="49"/>
      <c r="K118" s="52">
        <f>K119</f>
        <v>119600</v>
      </c>
      <c r="L118" s="52">
        <f>L119</f>
        <v>98313.36</v>
      </c>
      <c r="M118" s="52">
        <f t="shared" si="1"/>
        <v>21286.64</v>
      </c>
    </row>
    <row r="119" spans="1:13" ht="31.5">
      <c r="A119" s="36" t="s">
        <v>24</v>
      </c>
      <c r="B119" s="40"/>
      <c r="C119" s="38" t="s">
        <v>10</v>
      </c>
      <c r="D119" s="49"/>
      <c r="E119" s="49"/>
      <c r="F119" s="49"/>
      <c r="G119" s="49"/>
      <c r="H119" s="49"/>
      <c r="I119" s="49"/>
      <c r="J119" s="49"/>
      <c r="K119" s="52">
        <f>K120</f>
        <v>119600</v>
      </c>
      <c r="L119" s="52">
        <f>L120</f>
        <v>98313.36</v>
      </c>
      <c r="M119" s="52">
        <f t="shared" si="1"/>
        <v>21286.64</v>
      </c>
    </row>
    <row r="120" spans="1:14" ht="22.5">
      <c r="A120" s="68" t="s">
        <v>313</v>
      </c>
      <c r="B120" s="74"/>
      <c r="C120" s="70" t="s">
        <v>9</v>
      </c>
      <c r="D120" s="70"/>
      <c r="E120" s="70"/>
      <c r="F120" s="70"/>
      <c r="G120" s="70"/>
      <c r="H120" s="70"/>
      <c r="I120" s="70"/>
      <c r="J120" s="70"/>
      <c r="K120" s="71">
        <f>SUM(K121+K124)</f>
        <v>119600</v>
      </c>
      <c r="L120" s="71">
        <f>SUM(L121+L124)</f>
        <v>98313.36</v>
      </c>
      <c r="M120" s="71">
        <f t="shared" si="1"/>
        <v>21286.64</v>
      </c>
      <c r="N120" s="57"/>
    </row>
    <row r="121" spans="1:14" ht="12.75">
      <c r="A121" s="68" t="s">
        <v>77</v>
      </c>
      <c r="B121" s="74"/>
      <c r="C121" s="70" t="s">
        <v>8</v>
      </c>
      <c r="D121" s="70"/>
      <c r="E121" s="70"/>
      <c r="F121" s="70"/>
      <c r="G121" s="70"/>
      <c r="H121" s="70"/>
      <c r="I121" s="70"/>
      <c r="J121" s="70"/>
      <c r="K121" s="71">
        <f>SUM(K122)</f>
        <v>102300</v>
      </c>
      <c r="L121" s="71">
        <f>SUM(L122)</f>
        <v>96143.36</v>
      </c>
      <c r="M121" s="71">
        <f t="shared" si="1"/>
        <v>6156.639999999999</v>
      </c>
      <c r="N121" s="57"/>
    </row>
    <row r="122" spans="1:14" ht="12.75">
      <c r="A122" s="68" t="s">
        <v>81</v>
      </c>
      <c r="B122" s="74"/>
      <c r="C122" s="70" t="s">
        <v>7</v>
      </c>
      <c r="D122" s="70"/>
      <c r="E122" s="70"/>
      <c r="F122" s="70"/>
      <c r="G122" s="70"/>
      <c r="H122" s="70"/>
      <c r="I122" s="70"/>
      <c r="J122" s="70"/>
      <c r="K122" s="71">
        <f>SUM(K123)</f>
        <v>102300</v>
      </c>
      <c r="L122" s="71">
        <f>SUM(L123)</f>
        <v>96143.36</v>
      </c>
      <c r="M122" s="71">
        <f t="shared" si="1"/>
        <v>6156.639999999999</v>
      </c>
      <c r="N122" s="57"/>
    </row>
    <row r="123" spans="1:13" ht="12.75">
      <c r="A123" s="68" t="s">
        <v>172</v>
      </c>
      <c r="B123" s="74"/>
      <c r="C123" s="70" t="s">
        <v>6</v>
      </c>
      <c r="D123" s="70"/>
      <c r="E123" s="70"/>
      <c r="F123" s="70"/>
      <c r="G123" s="70"/>
      <c r="H123" s="70"/>
      <c r="I123" s="70"/>
      <c r="J123" s="70"/>
      <c r="K123" s="71">
        <v>102300</v>
      </c>
      <c r="L123" s="71">
        <v>96143.36</v>
      </c>
      <c r="M123" s="71">
        <f t="shared" si="1"/>
        <v>6156.639999999999</v>
      </c>
    </row>
    <row r="124" spans="1:13" ht="12.75">
      <c r="A124" s="68" t="s">
        <v>83</v>
      </c>
      <c r="B124" s="74"/>
      <c r="C124" s="70" t="s">
        <v>5</v>
      </c>
      <c r="D124" s="70"/>
      <c r="E124" s="70"/>
      <c r="F124" s="70"/>
      <c r="G124" s="70"/>
      <c r="H124" s="70"/>
      <c r="I124" s="70"/>
      <c r="J124" s="70"/>
      <c r="K124" s="71">
        <f>SUM(K125:K126)</f>
        <v>17300</v>
      </c>
      <c r="L124" s="71">
        <f>SUM(L125:L126)</f>
        <v>2170</v>
      </c>
      <c r="M124" s="71">
        <f t="shared" si="1"/>
        <v>15130</v>
      </c>
    </row>
    <row r="125" spans="1:13" ht="12.75">
      <c r="A125" s="68" t="s">
        <v>173</v>
      </c>
      <c r="B125" s="74"/>
      <c r="C125" s="70" t="s">
        <v>4</v>
      </c>
      <c r="D125" s="70"/>
      <c r="E125" s="70"/>
      <c r="F125" s="70"/>
      <c r="G125" s="70"/>
      <c r="H125" s="70"/>
      <c r="I125" s="70"/>
      <c r="J125" s="70"/>
      <c r="K125" s="71">
        <v>0</v>
      </c>
      <c r="L125" s="71">
        <v>0</v>
      </c>
      <c r="M125" s="71">
        <f t="shared" si="1"/>
        <v>0</v>
      </c>
    </row>
    <row r="126" spans="1:13" ht="12.75">
      <c r="A126" s="68" t="s">
        <v>174</v>
      </c>
      <c r="B126" s="74"/>
      <c r="C126" s="70" t="s">
        <v>3</v>
      </c>
      <c r="D126" s="70"/>
      <c r="E126" s="70"/>
      <c r="F126" s="70"/>
      <c r="G126" s="70"/>
      <c r="H126" s="70"/>
      <c r="I126" s="70"/>
      <c r="J126" s="70"/>
      <c r="K126" s="71">
        <v>17300</v>
      </c>
      <c r="L126" s="71">
        <v>2170</v>
      </c>
      <c r="M126" s="71">
        <f t="shared" si="1"/>
        <v>15130</v>
      </c>
    </row>
    <row r="127" spans="1:13" ht="21">
      <c r="A127" s="36" t="s">
        <v>316</v>
      </c>
      <c r="B127" s="65"/>
      <c r="C127" s="66" t="s">
        <v>595</v>
      </c>
      <c r="D127" s="70"/>
      <c r="E127" s="70"/>
      <c r="F127" s="70"/>
      <c r="G127" s="70"/>
      <c r="H127" s="70"/>
      <c r="I127" s="70"/>
      <c r="J127" s="70"/>
      <c r="K127" s="67">
        <f aca="true" t="shared" si="10" ref="K127:L129">K128</f>
        <v>210700</v>
      </c>
      <c r="L127" s="67">
        <f t="shared" si="10"/>
        <v>80808.64</v>
      </c>
      <c r="M127" s="52">
        <f t="shared" si="1"/>
        <v>129891.36</v>
      </c>
    </row>
    <row r="128" spans="1:13" ht="42">
      <c r="A128" s="36" t="s">
        <v>633</v>
      </c>
      <c r="B128" s="65"/>
      <c r="C128" s="66" t="s">
        <v>596</v>
      </c>
      <c r="D128" s="70"/>
      <c r="E128" s="70"/>
      <c r="F128" s="70"/>
      <c r="G128" s="70"/>
      <c r="H128" s="70"/>
      <c r="I128" s="70"/>
      <c r="J128" s="70"/>
      <c r="K128" s="67">
        <f t="shared" si="10"/>
        <v>210700</v>
      </c>
      <c r="L128" s="67">
        <f t="shared" si="10"/>
        <v>80808.64</v>
      </c>
      <c r="M128" s="52">
        <f t="shared" si="1"/>
        <v>129891.36</v>
      </c>
    </row>
    <row r="129" spans="1:13" ht="73.5">
      <c r="A129" s="36" t="s">
        <v>597</v>
      </c>
      <c r="B129" s="65"/>
      <c r="C129" s="66" t="s">
        <v>598</v>
      </c>
      <c r="D129" s="70"/>
      <c r="E129" s="70"/>
      <c r="F129" s="70"/>
      <c r="G129" s="70"/>
      <c r="H129" s="70"/>
      <c r="I129" s="70"/>
      <c r="J129" s="70"/>
      <c r="K129" s="67">
        <f t="shared" si="10"/>
        <v>210700</v>
      </c>
      <c r="L129" s="67">
        <f t="shared" si="10"/>
        <v>80808.64</v>
      </c>
      <c r="M129" s="52">
        <f t="shared" si="1"/>
        <v>129891.36</v>
      </c>
    </row>
    <row r="130" spans="1:13" ht="22.5">
      <c r="A130" s="68" t="s">
        <v>313</v>
      </c>
      <c r="B130" s="74"/>
      <c r="C130" s="70" t="s">
        <v>587</v>
      </c>
      <c r="D130" s="70"/>
      <c r="E130" s="70"/>
      <c r="F130" s="70"/>
      <c r="G130" s="70"/>
      <c r="H130" s="70"/>
      <c r="I130" s="70"/>
      <c r="J130" s="70"/>
      <c r="K130" s="71">
        <f>K131+K135</f>
        <v>210700</v>
      </c>
      <c r="L130" s="71">
        <f>L131+L135</f>
        <v>80808.64</v>
      </c>
      <c r="M130" s="81">
        <f t="shared" si="1"/>
        <v>129891.36</v>
      </c>
    </row>
    <row r="131" spans="1:13" ht="12.75">
      <c r="A131" s="68" t="s">
        <v>77</v>
      </c>
      <c r="B131" s="74"/>
      <c r="C131" s="70" t="s">
        <v>588</v>
      </c>
      <c r="D131" s="70"/>
      <c r="E131" s="70"/>
      <c r="F131" s="70"/>
      <c r="G131" s="70"/>
      <c r="H131" s="70"/>
      <c r="I131" s="70"/>
      <c r="J131" s="70"/>
      <c r="K131" s="71">
        <f>K132</f>
        <v>132500</v>
      </c>
      <c r="L131" s="71">
        <f>L132</f>
        <v>8228.64</v>
      </c>
      <c r="M131" s="81">
        <f t="shared" si="1"/>
        <v>124271.36</v>
      </c>
    </row>
    <row r="132" spans="1:13" ht="12.75">
      <c r="A132" s="68" t="s">
        <v>81</v>
      </c>
      <c r="B132" s="74"/>
      <c r="C132" s="70" t="s">
        <v>589</v>
      </c>
      <c r="D132" s="70"/>
      <c r="E132" s="70"/>
      <c r="F132" s="70"/>
      <c r="G132" s="70"/>
      <c r="H132" s="70"/>
      <c r="I132" s="70"/>
      <c r="J132" s="70"/>
      <c r="K132" s="71">
        <f>K133+K134</f>
        <v>132500</v>
      </c>
      <c r="L132" s="71">
        <f>L133+L134</f>
        <v>8228.64</v>
      </c>
      <c r="M132" s="81">
        <f t="shared" si="1"/>
        <v>124271.36</v>
      </c>
    </row>
    <row r="133" spans="1:13" ht="12.75">
      <c r="A133" s="68" t="s">
        <v>184</v>
      </c>
      <c r="B133" s="74"/>
      <c r="C133" s="70" t="s">
        <v>590</v>
      </c>
      <c r="D133" s="70"/>
      <c r="E133" s="70"/>
      <c r="F133" s="70"/>
      <c r="G133" s="70"/>
      <c r="H133" s="70"/>
      <c r="I133" s="70"/>
      <c r="J133" s="70"/>
      <c r="K133" s="71">
        <v>50000</v>
      </c>
      <c r="L133" s="71">
        <v>0</v>
      </c>
      <c r="M133" s="81">
        <f t="shared" si="1"/>
        <v>50000</v>
      </c>
    </row>
    <row r="134" spans="1:13" ht="12.75">
      <c r="A134" s="68" t="s">
        <v>172</v>
      </c>
      <c r="B134" s="74"/>
      <c r="C134" s="70" t="s">
        <v>591</v>
      </c>
      <c r="D134" s="70"/>
      <c r="E134" s="70"/>
      <c r="F134" s="70"/>
      <c r="G134" s="70"/>
      <c r="H134" s="70"/>
      <c r="I134" s="70"/>
      <c r="J134" s="70"/>
      <c r="K134" s="71">
        <v>82500</v>
      </c>
      <c r="L134" s="71">
        <v>8228.64</v>
      </c>
      <c r="M134" s="81">
        <f t="shared" si="1"/>
        <v>74271.36</v>
      </c>
    </row>
    <row r="135" spans="1:13" ht="12.75">
      <c r="A135" s="68" t="s">
        <v>83</v>
      </c>
      <c r="B135" s="74"/>
      <c r="C135" s="70" t="s">
        <v>592</v>
      </c>
      <c r="D135" s="70"/>
      <c r="E135" s="70"/>
      <c r="F135" s="70"/>
      <c r="G135" s="70"/>
      <c r="H135" s="70"/>
      <c r="I135" s="70"/>
      <c r="J135" s="70"/>
      <c r="K135" s="71">
        <f>K136+K137</f>
        <v>78200</v>
      </c>
      <c r="L135" s="71">
        <f>L136+L137</f>
        <v>72580</v>
      </c>
      <c r="M135" s="81">
        <f t="shared" si="1"/>
        <v>5620</v>
      </c>
    </row>
    <row r="136" spans="1:13" ht="12.75">
      <c r="A136" s="68" t="s">
        <v>173</v>
      </c>
      <c r="B136" s="74"/>
      <c r="C136" s="70" t="s">
        <v>593</v>
      </c>
      <c r="D136" s="70"/>
      <c r="E136" s="70"/>
      <c r="F136" s="70"/>
      <c r="G136" s="70"/>
      <c r="H136" s="70"/>
      <c r="I136" s="70"/>
      <c r="J136" s="70"/>
      <c r="K136" s="71">
        <v>43700</v>
      </c>
      <c r="L136" s="71">
        <v>38100</v>
      </c>
      <c r="M136" s="81">
        <f t="shared" si="1"/>
        <v>5600</v>
      </c>
    </row>
    <row r="137" spans="1:13" ht="12.75">
      <c r="A137" s="68" t="s">
        <v>174</v>
      </c>
      <c r="B137" s="74"/>
      <c r="C137" s="70" t="s">
        <v>594</v>
      </c>
      <c r="D137" s="70"/>
      <c r="E137" s="70"/>
      <c r="F137" s="70"/>
      <c r="G137" s="70"/>
      <c r="H137" s="70"/>
      <c r="I137" s="70"/>
      <c r="J137" s="70"/>
      <c r="K137" s="71">
        <v>34500</v>
      </c>
      <c r="L137" s="71">
        <v>34480</v>
      </c>
      <c r="M137" s="81">
        <f t="shared" si="1"/>
        <v>20</v>
      </c>
    </row>
    <row r="138" spans="1:17" ht="12.75">
      <c r="A138" s="36" t="s">
        <v>317</v>
      </c>
      <c r="B138" s="45"/>
      <c r="C138" s="38" t="s">
        <v>318</v>
      </c>
      <c r="D138" s="38"/>
      <c r="E138" s="38"/>
      <c r="F138" s="38"/>
      <c r="G138" s="38"/>
      <c r="H138" s="38"/>
      <c r="I138" s="38"/>
      <c r="J138" s="38"/>
      <c r="K138" s="52">
        <f>K139+K146+K153+K183</f>
        <v>11007473</v>
      </c>
      <c r="L138" s="52">
        <f>L139+L146+L153+L183</f>
        <v>10814501.5</v>
      </c>
      <c r="M138" s="52">
        <f t="shared" si="1"/>
        <v>192971.5</v>
      </c>
      <c r="Q138" s="57"/>
    </row>
    <row r="139" spans="1:13" ht="12.75">
      <c r="A139" s="36" t="s">
        <v>179</v>
      </c>
      <c r="B139" s="45"/>
      <c r="C139" s="38" t="s">
        <v>319</v>
      </c>
      <c r="D139" s="38"/>
      <c r="E139" s="38"/>
      <c r="F139" s="38"/>
      <c r="G139" s="38"/>
      <c r="H139" s="38"/>
      <c r="I139" s="38"/>
      <c r="J139" s="38"/>
      <c r="K139" s="52">
        <f aca="true" t="shared" si="11" ref="K139:K147">K140</f>
        <v>341100</v>
      </c>
      <c r="L139" s="52">
        <f>L140</f>
        <v>341100</v>
      </c>
      <c r="M139" s="52">
        <f t="shared" si="1"/>
        <v>0</v>
      </c>
    </row>
    <row r="140" spans="1:13" ht="21">
      <c r="A140" s="36" t="s">
        <v>320</v>
      </c>
      <c r="B140" s="45"/>
      <c r="C140" s="38" t="s">
        <v>321</v>
      </c>
      <c r="D140" s="38"/>
      <c r="E140" s="38"/>
      <c r="F140" s="38"/>
      <c r="G140" s="38"/>
      <c r="H140" s="38"/>
      <c r="I140" s="38"/>
      <c r="J140" s="38"/>
      <c r="K140" s="52">
        <f t="shared" si="11"/>
        <v>341100</v>
      </c>
      <c r="L140" s="52">
        <f>L141</f>
        <v>341100</v>
      </c>
      <c r="M140" s="52">
        <f t="shared" si="1"/>
        <v>0</v>
      </c>
    </row>
    <row r="141" spans="1:13" ht="21">
      <c r="A141" s="64" t="s">
        <v>322</v>
      </c>
      <c r="B141" s="74"/>
      <c r="C141" s="66" t="s">
        <v>323</v>
      </c>
      <c r="D141" s="66"/>
      <c r="E141" s="66"/>
      <c r="F141" s="66"/>
      <c r="G141" s="66"/>
      <c r="H141" s="66"/>
      <c r="I141" s="66"/>
      <c r="J141" s="66"/>
      <c r="K141" s="67">
        <f t="shared" si="11"/>
        <v>341100</v>
      </c>
      <c r="L141" s="67">
        <f>L142</f>
        <v>341100</v>
      </c>
      <c r="M141" s="67">
        <f t="shared" si="1"/>
        <v>0</v>
      </c>
    </row>
    <row r="142" spans="1:13" ht="12.75">
      <c r="A142" s="68" t="s">
        <v>324</v>
      </c>
      <c r="B142" s="65"/>
      <c r="C142" s="70" t="s">
        <v>325</v>
      </c>
      <c r="D142" s="66"/>
      <c r="E142" s="66"/>
      <c r="F142" s="66"/>
      <c r="G142" s="66"/>
      <c r="H142" s="66"/>
      <c r="I142" s="66"/>
      <c r="J142" s="66"/>
      <c r="K142" s="71">
        <f aca="true" t="shared" si="12" ref="K142:L144">SUM(K143)</f>
        <v>341100</v>
      </c>
      <c r="L142" s="71">
        <f t="shared" si="12"/>
        <v>341100</v>
      </c>
      <c r="M142" s="71">
        <f t="shared" si="1"/>
        <v>0</v>
      </c>
    </row>
    <row r="143" spans="1:13" ht="12.75">
      <c r="A143" s="68" t="s">
        <v>77</v>
      </c>
      <c r="B143" s="65"/>
      <c r="C143" s="70" t="s">
        <v>101</v>
      </c>
      <c r="D143" s="66"/>
      <c r="E143" s="66"/>
      <c r="F143" s="66"/>
      <c r="G143" s="66"/>
      <c r="H143" s="66"/>
      <c r="I143" s="66"/>
      <c r="J143" s="66"/>
      <c r="K143" s="71">
        <f t="shared" si="12"/>
        <v>341100</v>
      </c>
      <c r="L143" s="71">
        <f t="shared" si="12"/>
        <v>341100</v>
      </c>
      <c r="M143" s="71">
        <f t="shared" si="1"/>
        <v>0</v>
      </c>
    </row>
    <row r="144" spans="1:13" ht="12.75">
      <c r="A144" s="68" t="s">
        <v>103</v>
      </c>
      <c r="B144" s="65"/>
      <c r="C144" s="70" t="s">
        <v>102</v>
      </c>
      <c r="D144" s="66"/>
      <c r="E144" s="66"/>
      <c r="F144" s="66"/>
      <c r="G144" s="66"/>
      <c r="H144" s="66"/>
      <c r="I144" s="66"/>
      <c r="J144" s="66"/>
      <c r="K144" s="71">
        <f t="shared" si="12"/>
        <v>341100</v>
      </c>
      <c r="L144" s="71">
        <f t="shared" si="12"/>
        <v>341100</v>
      </c>
      <c r="M144" s="71">
        <f t="shared" si="1"/>
        <v>0</v>
      </c>
    </row>
    <row r="145" spans="1:13" ht="33.75">
      <c r="A145" s="68" t="s">
        <v>189</v>
      </c>
      <c r="B145" s="65"/>
      <c r="C145" s="70" t="s">
        <v>51</v>
      </c>
      <c r="D145" s="66"/>
      <c r="E145" s="66"/>
      <c r="F145" s="66"/>
      <c r="G145" s="66"/>
      <c r="H145" s="66"/>
      <c r="I145" s="66"/>
      <c r="J145" s="66"/>
      <c r="K145" s="71">
        <v>341100</v>
      </c>
      <c r="L145" s="71">
        <f>170500+85300+85300</f>
        <v>341100</v>
      </c>
      <c r="M145" s="71">
        <f t="shared" si="1"/>
        <v>0</v>
      </c>
    </row>
    <row r="146" spans="1:13" ht="12.75">
      <c r="A146" s="36" t="s">
        <v>180</v>
      </c>
      <c r="B146" s="45"/>
      <c r="C146" s="38" t="s">
        <v>326</v>
      </c>
      <c r="D146" s="38"/>
      <c r="E146" s="38"/>
      <c r="F146" s="38"/>
      <c r="G146" s="38"/>
      <c r="H146" s="38"/>
      <c r="I146" s="38"/>
      <c r="J146" s="38"/>
      <c r="K146" s="52">
        <f t="shared" si="11"/>
        <v>351800</v>
      </c>
      <c r="L146" s="52">
        <f>L147</f>
        <v>351780</v>
      </c>
      <c r="M146" s="52">
        <f t="shared" si="1"/>
        <v>20</v>
      </c>
    </row>
    <row r="147" spans="1:13" ht="21">
      <c r="A147" s="36" t="s">
        <v>327</v>
      </c>
      <c r="B147" s="45"/>
      <c r="C147" s="38" t="s">
        <v>328</v>
      </c>
      <c r="D147" s="38"/>
      <c r="E147" s="38"/>
      <c r="F147" s="38"/>
      <c r="G147" s="38"/>
      <c r="H147" s="38"/>
      <c r="I147" s="38"/>
      <c r="J147" s="38"/>
      <c r="K147" s="52">
        <f t="shared" si="11"/>
        <v>351800</v>
      </c>
      <c r="L147" s="52">
        <f>L148</f>
        <v>351780</v>
      </c>
      <c r="M147" s="52">
        <f t="shared" si="1"/>
        <v>20</v>
      </c>
    </row>
    <row r="148" spans="1:13" ht="21">
      <c r="A148" s="64" t="s">
        <v>329</v>
      </c>
      <c r="B148" s="74"/>
      <c r="C148" s="66" t="s">
        <v>330</v>
      </c>
      <c r="D148" s="66"/>
      <c r="E148" s="66"/>
      <c r="F148" s="66"/>
      <c r="G148" s="66"/>
      <c r="H148" s="66"/>
      <c r="I148" s="66"/>
      <c r="J148" s="66"/>
      <c r="K148" s="67">
        <f>K149</f>
        <v>351800</v>
      </c>
      <c r="L148" s="67">
        <f>L149</f>
        <v>351780</v>
      </c>
      <c r="M148" s="67">
        <f t="shared" si="1"/>
        <v>20</v>
      </c>
    </row>
    <row r="149" spans="1:13" ht="12.75">
      <c r="A149" s="68" t="s">
        <v>324</v>
      </c>
      <c r="B149" s="65"/>
      <c r="C149" s="70" t="s">
        <v>331</v>
      </c>
      <c r="D149" s="66"/>
      <c r="E149" s="66"/>
      <c r="F149" s="66"/>
      <c r="G149" s="66"/>
      <c r="H149" s="66"/>
      <c r="I149" s="66"/>
      <c r="J149" s="66"/>
      <c r="K149" s="71">
        <f aca="true" t="shared" si="13" ref="K149:L151">SUM(K150)</f>
        <v>351800</v>
      </c>
      <c r="L149" s="71">
        <f t="shared" si="13"/>
        <v>351780</v>
      </c>
      <c r="M149" s="71">
        <f t="shared" si="1"/>
        <v>20</v>
      </c>
    </row>
    <row r="150" spans="1:13" ht="12.75">
      <c r="A150" s="68" t="s">
        <v>77</v>
      </c>
      <c r="B150" s="65"/>
      <c r="C150" s="70" t="s">
        <v>104</v>
      </c>
      <c r="D150" s="66"/>
      <c r="E150" s="66"/>
      <c r="F150" s="66"/>
      <c r="G150" s="66"/>
      <c r="H150" s="66"/>
      <c r="I150" s="66"/>
      <c r="J150" s="66"/>
      <c r="K150" s="71">
        <f t="shared" si="13"/>
        <v>351800</v>
      </c>
      <c r="L150" s="71">
        <f t="shared" si="13"/>
        <v>351780</v>
      </c>
      <c r="M150" s="71">
        <f t="shared" si="1"/>
        <v>20</v>
      </c>
    </row>
    <row r="151" spans="1:13" ht="12.75">
      <c r="A151" s="68" t="s">
        <v>103</v>
      </c>
      <c r="B151" s="65"/>
      <c r="C151" s="91" t="s">
        <v>105</v>
      </c>
      <c r="D151" s="66"/>
      <c r="E151" s="66"/>
      <c r="F151" s="66"/>
      <c r="G151" s="66"/>
      <c r="H151" s="66"/>
      <c r="I151" s="66"/>
      <c r="J151" s="66"/>
      <c r="K151" s="71">
        <f t="shared" si="13"/>
        <v>351800</v>
      </c>
      <c r="L151" s="71">
        <f t="shared" si="13"/>
        <v>351780</v>
      </c>
      <c r="M151" s="71">
        <f t="shared" si="1"/>
        <v>20</v>
      </c>
    </row>
    <row r="152" spans="1:13" ht="33.75">
      <c r="A152" s="68" t="s">
        <v>189</v>
      </c>
      <c r="B152" s="65"/>
      <c r="C152" s="70" t="s">
        <v>52</v>
      </c>
      <c r="D152" s="66"/>
      <c r="E152" s="66"/>
      <c r="F152" s="66"/>
      <c r="G152" s="66"/>
      <c r="H152" s="66"/>
      <c r="I152" s="66"/>
      <c r="J152" s="66"/>
      <c r="K152" s="71">
        <v>351800</v>
      </c>
      <c r="L152" s="71">
        <f>255840+95940</f>
        <v>351780</v>
      </c>
      <c r="M152" s="71">
        <f t="shared" si="1"/>
        <v>20</v>
      </c>
    </row>
    <row r="153" spans="1:17" ht="12.75">
      <c r="A153" s="36" t="s">
        <v>461</v>
      </c>
      <c r="B153" s="65"/>
      <c r="C153" s="66" t="s">
        <v>464</v>
      </c>
      <c r="D153" s="66"/>
      <c r="E153" s="66"/>
      <c r="F153" s="66"/>
      <c r="G153" s="66"/>
      <c r="H153" s="66"/>
      <c r="I153" s="66"/>
      <c r="J153" s="66"/>
      <c r="K153" s="67">
        <f>K154+K164+K176</f>
        <v>10114573</v>
      </c>
      <c r="L153" s="67">
        <f>L154+L164+L176</f>
        <v>9921621.5</v>
      </c>
      <c r="M153" s="67">
        <f t="shared" si="1"/>
        <v>192951.5</v>
      </c>
      <c r="Q153" s="57"/>
    </row>
    <row r="154" spans="1:17" ht="12.75">
      <c r="A154" s="36" t="s">
        <v>462</v>
      </c>
      <c r="B154" s="65"/>
      <c r="C154" s="66" t="s">
        <v>465</v>
      </c>
      <c r="D154" s="66"/>
      <c r="E154" s="66"/>
      <c r="F154" s="66"/>
      <c r="G154" s="66"/>
      <c r="H154" s="66"/>
      <c r="I154" s="66"/>
      <c r="J154" s="66"/>
      <c r="K154" s="67">
        <f aca="true" t="shared" si="14" ref="K154:L157">K155</f>
        <v>4277000</v>
      </c>
      <c r="L154" s="67">
        <f t="shared" si="14"/>
        <v>4231106.5600000005</v>
      </c>
      <c r="M154" s="67">
        <f t="shared" si="1"/>
        <v>45893.43999999948</v>
      </c>
      <c r="Q154" s="57"/>
    </row>
    <row r="155" spans="1:13" ht="21">
      <c r="A155" s="36" t="s">
        <v>463</v>
      </c>
      <c r="B155" s="65"/>
      <c r="C155" s="66" t="s">
        <v>466</v>
      </c>
      <c r="D155" s="66"/>
      <c r="E155" s="66"/>
      <c r="F155" s="66"/>
      <c r="G155" s="66"/>
      <c r="H155" s="66"/>
      <c r="I155" s="66"/>
      <c r="J155" s="66"/>
      <c r="K155" s="67">
        <f t="shared" si="14"/>
        <v>4277000</v>
      </c>
      <c r="L155" s="67">
        <f t="shared" si="14"/>
        <v>4231106.5600000005</v>
      </c>
      <c r="M155" s="67">
        <f t="shared" si="1"/>
        <v>45893.43999999948</v>
      </c>
    </row>
    <row r="156" spans="1:13" ht="22.5">
      <c r="A156" s="39" t="s">
        <v>313</v>
      </c>
      <c r="B156" s="65"/>
      <c r="C156" s="91" t="s">
        <v>467</v>
      </c>
      <c r="D156" s="66"/>
      <c r="E156" s="66"/>
      <c r="F156" s="66"/>
      <c r="G156" s="66"/>
      <c r="H156" s="66"/>
      <c r="I156" s="66"/>
      <c r="J156" s="66"/>
      <c r="K156" s="71">
        <f>K157+K162</f>
        <v>4277000</v>
      </c>
      <c r="L156" s="71">
        <f>L157+L162</f>
        <v>4231106.5600000005</v>
      </c>
      <c r="M156" s="71">
        <f t="shared" si="1"/>
        <v>45893.43999999948</v>
      </c>
    </row>
    <row r="157" spans="1:13" ht="12.75">
      <c r="A157" s="68" t="s">
        <v>77</v>
      </c>
      <c r="B157" s="65"/>
      <c r="C157" s="91" t="s">
        <v>468</v>
      </c>
      <c r="D157" s="66"/>
      <c r="E157" s="66"/>
      <c r="F157" s="66"/>
      <c r="G157" s="66"/>
      <c r="H157" s="66"/>
      <c r="I157" s="66"/>
      <c r="J157" s="66"/>
      <c r="K157" s="71">
        <f t="shared" si="14"/>
        <v>4181000</v>
      </c>
      <c r="L157" s="71">
        <f t="shared" si="14"/>
        <v>4135106.5600000005</v>
      </c>
      <c r="M157" s="71">
        <f t="shared" si="1"/>
        <v>45893.43999999948</v>
      </c>
    </row>
    <row r="158" spans="1:13" ht="12.75">
      <c r="A158" s="68" t="s">
        <v>81</v>
      </c>
      <c r="B158" s="65"/>
      <c r="C158" s="91" t="s">
        <v>469</v>
      </c>
      <c r="D158" s="66"/>
      <c r="E158" s="66"/>
      <c r="F158" s="66"/>
      <c r="G158" s="66"/>
      <c r="H158" s="66"/>
      <c r="I158" s="66"/>
      <c r="J158" s="66"/>
      <c r="K158" s="71">
        <f>K159+K160+K161</f>
        <v>4181000</v>
      </c>
      <c r="L158" s="71">
        <f>L159+L160+L161</f>
        <v>4135106.5600000005</v>
      </c>
      <c r="M158" s="71">
        <f t="shared" si="1"/>
        <v>45893.43999999948</v>
      </c>
    </row>
    <row r="159" spans="1:13" ht="12.75">
      <c r="A159" s="68" t="s">
        <v>170</v>
      </c>
      <c r="B159" s="65"/>
      <c r="C159" s="91" t="s">
        <v>470</v>
      </c>
      <c r="D159" s="66"/>
      <c r="E159" s="66"/>
      <c r="F159" s="66"/>
      <c r="G159" s="66"/>
      <c r="H159" s="66"/>
      <c r="I159" s="66"/>
      <c r="J159" s="66"/>
      <c r="K159" s="71">
        <v>386300</v>
      </c>
      <c r="L159" s="71">
        <f>320532.8+32851.2+32851.2</f>
        <v>386235.2</v>
      </c>
      <c r="M159" s="71">
        <f t="shared" si="1"/>
        <v>64.79999999998836</v>
      </c>
    </row>
    <row r="160" spans="1:13" ht="12.75">
      <c r="A160" s="68" t="s">
        <v>184</v>
      </c>
      <c r="B160" s="65"/>
      <c r="C160" s="91" t="s">
        <v>471</v>
      </c>
      <c r="D160" s="66"/>
      <c r="E160" s="66"/>
      <c r="F160" s="66"/>
      <c r="G160" s="66"/>
      <c r="H160" s="66"/>
      <c r="I160" s="66"/>
      <c r="J160" s="66"/>
      <c r="K160" s="71">
        <f>1917600+1757100</f>
        <v>3674700</v>
      </c>
      <c r="L160" s="71">
        <f>1253576.12+124503.61+2295291.63</f>
        <v>3673371.3600000003</v>
      </c>
      <c r="M160" s="71">
        <f>K160-L160</f>
        <v>1328.6399999996647</v>
      </c>
    </row>
    <row r="161" spans="1:17" ht="12.75">
      <c r="A161" s="68" t="s">
        <v>172</v>
      </c>
      <c r="B161" s="65"/>
      <c r="C161" s="91" t="s">
        <v>554</v>
      </c>
      <c r="D161" s="66"/>
      <c r="E161" s="66"/>
      <c r="F161" s="66"/>
      <c r="G161" s="66"/>
      <c r="H161" s="66"/>
      <c r="I161" s="66"/>
      <c r="J161" s="66"/>
      <c r="K161" s="71">
        <v>120000</v>
      </c>
      <c r="L161" s="71">
        <f>12100+63400</f>
        <v>75500</v>
      </c>
      <c r="M161" s="71">
        <f>K161-L161</f>
        <v>44500</v>
      </c>
      <c r="Q161" s="57"/>
    </row>
    <row r="162" spans="1:13" ht="12.75">
      <c r="A162" s="68" t="s">
        <v>83</v>
      </c>
      <c r="B162" s="65"/>
      <c r="C162" s="91" t="s">
        <v>522</v>
      </c>
      <c r="D162" s="66"/>
      <c r="E162" s="66"/>
      <c r="F162" s="66"/>
      <c r="G162" s="66"/>
      <c r="H162" s="66"/>
      <c r="I162" s="66"/>
      <c r="J162" s="66"/>
      <c r="K162" s="71">
        <f>K163</f>
        <v>96000</v>
      </c>
      <c r="L162" s="71">
        <f>L163</f>
        <v>96000</v>
      </c>
      <c r="M162" s="71">
        <f>K162-L162</f>
        <v>0</v>
      </c>
    </row>
    <row r="163" spans="1:13" ht="12.75">
      <c r="A163" s="68" t="s">
        <v>174</v>
      </c>
      <c r="B163" s="65"/>
      <c r="C163" s="91" t="s">
        <v>523</v>
      </c>
      <c r="D163" s="66"/>
      <c r="E163" s="66"/>
      <c r="F163" s="66"/>
      <c r="G163" s="66"/>
      <c r="H163" s="66"/>
      <c r="I163" s="66"/>
      <c r="J163" s="66"/>
      <c r="K163" s="71">
        <v>96000</v>
      </c>
      <c r="L163" s="71">
        <v>96000</v>
      </c>
      <c r="M163" s="71">
        <f>K163-L163</f>
        <v>0</v>
      </c>
    </row>
    <row r="164" spans="1:15" ht="12.75">
      <c r="A164" s="64" t="s">
        <v>618</v>
      </c>
      <c r="B164" s="65"/>
      <c r="C164" s="66" t="s">
        <v>608</v>
      </c>
      <c r="D164" s="66"/>
      <c r="E164" s="66"/>
      <c r="F164" s="66"/>
      <c r="G164" s="66"/>
      <c r="H164" s="66"/>
      <c r="I164" s="66"/>
      <c r="J164" s="66"/>
      <c r="K164" s="67">
        <f>K165</f>
        <v>4252373</v>
      </c>
      <c r="L164" s="67">
        <f>L165</f>
        <v>4252373</v>
      </c>
      <c r="M164" s="67">
        <f aca="true" t="shared" si="15" ref="M164:M175">K164-L164</f>
        <v>0</v>
      </c>
      <c r="N164" s="136"/>
      <c r="O164" s="136"/>
    </row>
    <row r="165" spans="1:15" ht="42">
      <c r="A165" s="64" t="s">
        <v>619</v>
      </c>
      <c r="B165" s="65"/>
      <c r="C165" s="66" t="s">
        <v>609</v>
      </c>
      <c r="D165" s="66"/>
      <c r="E165" s="66"/>
      <c r="F165" s="66"/>
      <c r="G165" s="66"/>
      <c r="H165" s="66"/>
      <c r="I165" s="66"/>
      <c r="J165" s="66"/>
      <c r="K165" s="67">
        <f>K166+K171</f>
        <v>4252373</v>
      </c>
      <c r="L165" s="67">
        <f>L166+L171</f>
        <v>4252373</v>
      </c>
      <c r="M165" s="67">
        <f t="shared" si="15"/>
        <v>0</v>
      </c>
      <c r="N165" s="136"/>
      <c r="O165" s="136"/>
    </row>
    <row r="166" spans="1:15" ht="63">
      <c r="A166" s="64" t="s">
        <v>35</v>
      </c>
      <c r="B166" s="65"/>
      <c r="C166" s="66" t="s">
        <v>36</v>
      </c>
      <c r="D166" s="66"/>
      <c r="E166" s="66"/>
      <c r="F166" s="66"/>
      <c r="G166" s="66"/>
      <c r="H166" s="66"/>
      <c r="I166" s="66"/>
      <c r="J166" s="66"/>
      <c r="K166" s="67">
        <f>K167</f>
        <v>2382030</v>
      </c>
      <c r="L166" s="67">
        <f>L167</f>
        <v>2382030</v>
      </c>
      <c r="M166" s="67">
        <f t="shared" si="15"/>
        <v>0</v>
      </c>
      <c r="N166" s="136"/>
      <c r="O166" s="136"/>
    </row>
    <row r="167" spans="1:15" ht="22.5">
      <c r="A167" s="39" t="s">
        <v>313</v>
      </c>
      <c r="B167" s="65"/>
      <c r="C167" s="125" t="s">
        <v>610</v>
      </c>
      <c r="D167" s="125"/>
      <c r="E167" s="125"/>
      <c r="F167" s="125"/>
      <c r="G167" s="125"/>
      <c r="H167" s="125"/>
      <c r="I167" s="125"/>
      <c r="J167" s="125"/>
      <c r="K167" s="124">
        <f aca="true" t="shared" si="16" ref="K167:L169">K168</f>
        <v>2382030</v>
      </c>
      <c r="L167" s="124">
        <f t="shared" si="16"/>
        <v>2382030</v>
      </c>
      <c r="M167" s="124">
        <f t="shared" si="15"/>
        <v>0</v>
      </c>
      <c r="N167" s="136"/>
      <c r="O167" s="136"/>
    </row>
    <row r="168" spans="1:15" ht="12.75">
      <c r="A168" s="68" t="s">
        <v>77</v>
      </c>
      <c r="B168" s="65"/>
      <c r="C168" s="91" t="s">
        <v>611</v>
      </c>
      <c r="D168" s="66"/>
      <c r="E168" s="66"/>
      <c r="F168" s="66"/>
      <c r="G168" s="66"/>
      <c r="H168" s="66"/>
      <c r="I168" s="66"/>
      <c r="J168" s="66"/>
      <c r="K168" s="71">
        <f t="shared" si="16"/>
        <v>2382030</v>
      </c>
      <c r="L168" s="71">
        <f t="shared" si="16"/>
        <v>2382030</v>
      </c>
      <c r="M168" s="71">
        <f t="shared" si="15"/>
        <v>0</v>
      </c>
      <c r="N168" s="136"/>
      <c r="O168" s="136"/>
    </row>
    <row r="169" spans="1:15" ht="12.75">
      <c r="A169" s="68" t="s">
        <v>81</v>
      </c>
      <c r="B169" s="65"/>
      <c r="C169" s="91" t="s">
        <v>612</v>
      </c>
      <c r="D169" s="66"/>
      <c r="E169" s="66"/>
      <c r="F169" s="66"/>
      <c r="G169" s="66"/>
      <c r="H169" s="66"/>
      <c r="I169" s="66"/>
      <c r="J169" s="66"/>
      <c r="K169" s="71">
        <f t="shared" si="16"/>
        <v>2382030</v>
      </c>
      <c r="L169" s="71">
        <f t="shared" si="16"/>
        <v>2382030</v>
      </c>
      <c r="M169" s="71">
        <f t="shared" si="15"/>
        <v>0</v>
      </c>
      <c r="N169" s="136"/>
      <c r="O169" s="136"/>
    </row>
    <row r="170" spans="1:15" ht="12.75">
      <c r="A170" s="68" t="s">
        <v>184</v>
      </c>
      <c r="B170" s="65"/>
      <c r="C170" s="91" t="s">
        <v>613</v>
      </c>
      <c r="D170" s="66"/>
      <c r="E170" s="66"/>
      <c r="F170" s="66"/>
      <c r="G170" s="66"/>
      <c r="H170" s="66"/>
      <c r="I170" s="66"/>
      <c r="J170" s="66"/>
      <c r="K170" s="71">
        <v>2382030</v>
      </c>
      <c r="L170" s="71">
        <v>2382030</v>
      </c>
      <c r="M170" s="71">
        <f t="shared" si="15"/>
        <v>0</v>
      </c>
      <c r="N170" s="136"/>
      <c r="O170" s="136"/>
    </row>
    <row r="171" spans="1:15" ht="52.5">
      <c r="A171" s="64" t="s">
        <v>37</v>
      </c>
      <c r="B171" s="65"/>
      <c r="C171" s="66" t="s">
        <v>38</v>
      </c>
      <c r="D171" s="66"/>
      <c r="E171" s="66"/>
      <c r="F171" s="66"/>
      <c r="G171" s="66"/>
      <c r="H171" s="66"/>
      <c r="I171" s="66"/>
      <c r="J171" s="66"/>
      <c r="K171" s="67">
        <f>K172</f>
        <v>1870343</v>
      </c>
      <c r="L171" s="67">
        <f>L172</f>
        <v>1870343</v>
      </c>
      <c r="M171" s="67">
        <f t="shared" si="15"/>
        <v>0</v>
      </c>
      <c r="N171" s="136"/>
      <c r="O171" s="136"/>
    </row>
    <row r="172" spans="1:15" ht="22.5">
      <c r="A172" s="39" t="s">
        <v>313</v>
      </c>
      <c r="B172" s="65"/>
      <c r="C172" s="125" t="s">
        <v>614</v>
      </c>
      <c r="D172" s="125"/>
      <c r="E172" s="125"/>
      <c r="F172" s="125"/>
      <c r="G172" s="125"/>
      <c r="H172" s="125"/>
      <c r="I172" s="125"/>
      <c r="J172" s="125"/>
      <c r="K172" s="124">
        <f aca="true" t="shared" si="17" ref="K172:L174">K173</f>
        <v>1870343</v>
      </c>
      <c r="L172" s="124">
        <f t="shared" si="17"/>
        <v>1870343</v>
      </c>
      <c r="M172" s="124">
        <f t="shared" si="15"/>
        <v>0</v>
      </c>
      <c r="N172" s="136"/>
      <c r="O172" s="136"/>
    </row>
    <row r="173" spans="1:13" ht="12.75">
      <c r="A173" s="68" t="s">
        <v>77</v>
      </c>
      <c r="B173" s="65"/>
      <c r="C173" s="91" t="s">
        <v>615</v>
      </c>
      <c r="D173" s="66"/>
      <c r="E173" s="66"/>
      <c r="F173" s="66"/>
      <c r="G173" s="66"/>
      <c r="H173" s="66"/>
      <c r="I173" s="66"/>
      <c r="J173" s="66"/>
      <c r="K173" s="71">
        <f t="shared" si="17"/>
        <v>1870343</v>
      </c>
      <c r="L173" s="71">
        <f t="shared" si="17"/>
        <v>1870343</v>
      </c>
      <c r="M173" s="71">
        <f t="shared" si="15"/>
        <v>0</v>
      </c>
    </row>
    <row r="174" spans="1:13" ht="12.75">
      <c r="A174" s="68" t="s">
        <v>81</v>
      </c>
      <c r="B174" s="65"/>
      <c r="C174" s="91" t="s">
        <v>616</v>
      </c>
      <c r="D174" s="66"/>
      <c r="E174" s="66"/>
      <c r="F174" s="66"/>
      <c r="G174" s="66"/>
      <c r="H174" s="66"/>
      <c r="I174" s="66"/>
      <c r="J174" s="66"/>
      <c r="K174" s="71">
        <f t="shared" si="17"/>
        <v>1870343</v>
      </c>
      <c r="L174" s="71">
        <f t="shared" si="17"/>
        <v>1870343</v>
      </c>
      <c r="M174" s="71">
        <f t="shared" si="15"/>
        <v>0</v>
      </c>
    </row>
    <row r="175" spans="1:13" ht="12.75">
      <c r="A175" s="68" t="s">
        <v>184</v>
      </c>
      <c r="B175" s="65"/>
      <c r="C175" s="91" t="s">
        <v>617</v>
      </c>
      <c r="D175" s="66"/>
      <c r="E175" s="66"/>
      <c r="F175" s="66"/>
      <c r="G175" s="66"/>
      <c r="H175" s="66"/>
      <c r="I175" s="66"/>
      <c r="J175" s="66"/>
      <c r="K175" s="71">
        <v>1870343</v>
      </c>
      <c r="L175" s="71">
        <v>1870343</v>
      </c>
      <c r="M175" s="71">
        <f t="shared" si="15"/>
        <v>0</v>
      </c>
    </row>
    <row r="176" spans="1:13" ht="21">
      <c r="A176" s="36" t="s">
        <v>316</v>
      </c>
      <c r="B176" s="65"/>
      <c r="C176" s="66" t="s">
        <v>472</v>
      </c>
      <c r="D176" s="66"/>
      <c r="E176" s="66"/>
      <c r="F176" s="66"/>
      <c r="G176" s="66"/>
      <c r="H176" s="66"/>
      <c r="I176" s="66"/>
      <c r="J176" s="66"/>
      <c r="K176" s="67">
        <f aca="true" t="shared" si="18" ref="K176:L181">K177</f>
        <v>1585200</v>
      </c>
      <c r="L176" s="67">
        <f t="shared" si="18"/>
        <v>1438141.94</v>
      </c>
      <c r="M176" s="71">
        <f aca="true" t="shared" si="19" ref="M176:M181">K176-L176</f>
        <v>147058.06000000006</v>
      </c>
    </row>
    <row r="177" spans="1:13" ht="42">
      <c r="A177" s="36" t="s">
        <v>633</v>
      </c>
      <c r="B177" s="65"/>
      <c r="C177" s="66" t="s">
        <v>473</v>
      </c>
      <c r="D177" s="66"/>
      <c r="E177" s="66"/>
      <c r="F177" s="66"/>
      <c r="G177" s="66"/>
      <c r="H177" s="66"/>
      <c r="I177" s="66"/>
      <c r="J177" s="66"/>
      <c r="K177" s="67">
        <f t="shared" si="18"/>
        <v>1585200</v>
      </c>
      <c r="L177" s="67">
        <f t="shared" si="18"/>
        <v>1438141.94</v>
      </c>
      <c r="M177" s="67">
        <f t="shared" si="19"/>
        <v>147058.06000000006</v>
      </c>
    </row>
    <row r="178" spans="1:13" ht="67.5">
      <c r="A178" s="92" t="s">
        <v>377</v>
      </c>
      <c r="B178" s="65"/>
      <c r="C178" s="66" t="s">
        <v>474</v>
      </c>
      <c r="D178" s="66"/>
      <c r="E178" s="66"/>
      <c r="F178" s="66"/>
      <c r="G178" s="66"/>
      <c r="H178" s="66"/>
      <c r="I178" s="66"/>
      <c r="J178" s="66"/>
      <c r="K178" s="67">
        <f t="shared" si="18"/>
        <v>1585200</v>
      </c>
      <c r="L178" s="67">
        <f t="shared" si="18"/>
        <v>1438141.94</v>
      </c>
      <c r="M178" s="67">
        <f t="shared" si="19"/>
        <v>147058.06000000006</v>
      </c>
    </row>
    <row r="179" spans="1:13" ht="22.5">
      <c r="A179" s="39" t="s">
        <v>266</v>
      </c>
      <c r="B179" s="65"/>
      <c r="C179" s="91" t="s">
        <v>475</v>
      </c>
      <c r="D179" s="66"/>
      <c r="E179" s="66"/>
      <c r="F179" s="66"/>
      <c r="G179" s="66"/>
      <c r="H179" s="66"/>
      <c r="I179" s="66"/>
      <c r="J179" s="66"/>
      <c r="K179" s="71">
        <f t="shared" si="18"/>
        <v>1585200</v>
      </c>
      <c r="L179" s="71">
        <f t="shared" si="18"/>
        <v>1438141.94</v>
      </c>
      <c r="M179" s="71">
        <f t="shared" si="19"/>
        <v>147058.06000000006</v>
      </c>
    </row>
    <row r="180" spans="1:13" ht="12.75">
      <c r="A180" s="68" t="s">
        <v>77</v>
      </c>
      <c r="B180" s="65"/>
      <c r="C180" s="91" t="s">
        <v>476</v>
      </c>
      <c r="D180" s="66"/>
      <c r="E180" s="66"/>
      <c r="F180" s="66"/>
      <c r="G180" s="66"/>
      <c r="H180" s="66"/>
      <c r="I180" s="66"/>
      <c r="J180" s="66"/>
      <c r="K180" s="71">
        <f t="shared" si="18"/>
        <v>1585200</v>
      </c>
      <c r="L180" s="71">
        <f t="shared" si="18"/>
        <v>1438141.94</v>
      </c>
      <c r="M180" s="71">
        <f t="shared" si="19"/>
        <v>147058.06000000006</v>
      </c>
    </row>
    <row r="181" spans="1:13" ht="12.75">
      <c r="A181" s="68" t="s">
        <v>81</v>
      </c>
      <c r="B181" s="65"/>
      <c r="C181" s="91" t="s">
        <v>477</v>
      </c>
      <c r="D181" s="66"/>
      <c r="E181" s="66"/>
      <c r="F181" s="66"/>
      <c r="G181" s="66"/>
      <c r="H181" s="66"/>
      <c r="I181" s="66"/>
      <c r="J181" s="66"/>
      <c r="K181" s="71">
        <f t="shared" si="18"/>
        <v>1585200</v>
      </c>
      <c r="L181" s="71">
        <f t="shared" si="18"/>
        <v>1438141.94</v>
      </c>
      <c r="M181" s="71">
        <f t="shared" si="19"/>
        <v>147058.06000000006</v>
      </c>
    </row>
    <row r="182" spans="1:13" ht="12.75">
      <c r="A182" s="68" t="s">
        <v>184</v>
      </c>
      <c r="B182" s="65"/>
      <c r="C182" s="91" t="s">
        <v>478</v>
      </c>
      <c r="D182" s="66"/>
      <c r="E182" s="66"/>
      <c r="F182" s="66"/>
      <c r="G182" s="66"/>
      <c r="H182" s="66"/>
      <c r="I182" s="66"/>
      <c r="J182" s="66"/>
      <c r="K182" s="71">
        <v>1585200</v>
      </c>
      <c r="L182" s="71">
        <v>1438141.94</v>
      </c>
      <c r="M182" s="71">
        <f>K182-L182</f>
        <v>147058.06000000006</v>
      </c>
    </row>
    <row r="183" spans="1:13" ht="21">
      <c r="A183" s="36" t="s">
        <v>332</v>
      </c>
      <c r="B183" s="37"/>
      <c r="C183" s="38" t="s">
        <v>333</v>
      </c>
      <c r="D183" s="38"/>
      <c r="E183" s="38"/>
      <c r="F183" s="38"/>
      <c r="G183" s="38"/>
      <c r="H183" s="38"/>
      <c r="I183" s="38"/>
      <c r="J183" s="38"/>
      <c r="K183" s="52">
        <f aca="true" t="shared" si="20" ref="K183:L186">K184</f>
        <v>200000</v>
      </c>
      <c r="L183" s="52">
        <f t="shared" si="20"/>
        <v>200000</v>
      </c>
      <c r="M183" s="52">
        <f t="shared" si="1"/>
        <v>0</v>
      </c>
    </row>
    <row r="184" spans="1:13" ht="21">
      <c r="A184" s="36" t="s">
        <v>316</v>
      </c>
      <c r="B184" s="37"/>
      <c r="C184" s="38" t="s">
        <v>334</v>
      </c>
      <c r="D184" s="38"/>
      <c r="E184" s="38"/>
      <c r="F184" s="38"/>
      <c r="G184" s="38"/>
      <c r="H184" s="38"/>
      <c r="I184" s="38"/>
      <c r="J184" s="38"/>
      <c r="K184" s="52">
        <f t="shared" si="20"/>
        <v>200000</v>
      </c>
      <c r="L184" s="52">
        <f t="shared" si="20"/>
        <v>200000</v>
      </c>
      <c r="M184" s="52">
        <f t="shared" si="1"/>
        <v>0</v>
      </c>
    </row>
    <row r="185" spans="1:13" ht="42">
      <c r="A185" s="36" t="s">
        <v>633</v>
      </c>
      <c r="B185" s="45"/>
      <c r="C185" s="38" t="s">
        <v>335</v>
      </c>
      <c r="D185" s="38"/>
      <c r="E185" s="38"/>
      <c r="F185" s="38"/>
      <c r="G185" s="38"/>
      <c r="H185" s="38"/>
      <c r="I185" s="38"/>
      <c r="J185" s="38"/>
      <c r="K185" s="52">
        <f t="shared" si="20"/>
        <v>200000</v>
      </c>
      <c r="L185" s="52">
        <f t="shared" si="20"/>
        <v>200000</v>
      </c>
      <c r="M185" s="52">
        <f t="shared" si="1"/>
        <v>0</v>
      </c>
    </row>
    <row r="186" spans="1:13" ht="56.25">
      <c r="A186" s="75" t="s">
        <v>336</v>
      </c>
      <c r="B186" s="74"/>
      <c r="C186" s="66" t="s">
        <v>337</v>
      </c>
      <c r="D186" s="66"/>
      <c r="E186" s="66"/>
      <c r="F186" s="66"/>
      <c r="G186" s="66"/>
      <c r="H186" s="66"/>
      <c r="I186" s="66"/>
      <c r="J186" s="66"/>
      <c r="K186" s="67">
        <f t="shared" si="20"/>
        <v>200000</v>
      </c>
      <c r="L186" s="67">
        <f t="shared" si="20"/>
        <v>200000</v>
      </c>
      <c r="M186" s="67">
        <f t="shared" si="1"/>
        <v>0</v>
      </c>
    </row>
    <row r="187" spans="1:13" ht="22.5">
      <c r="A187" s="68" t="s">
        <v>313</v>
      </c>
      <c r="B187" s="65"/>
      <c r="C187" s="70" t="s">
        <v>338</v>
      </c>
      <c r="D187" s="66"/>
      <c r="E187" s="66"/>
      <c r="F187" s="66"/>
      <c r="G187" s="66"/>
      <c r="H187" s="66"/>
      <c r="I187" s="66"/>
      <c r="J187" s="66"/>
      <c r="K187" s="71">
        <f aca="true" t="shared" si="21" ref="K187:L189">SUM(K188)</f>
        <v>200000</v>
      </c>
      <c r="L187" s="71">
        <f t="shared" si="21"/>
        <v>200000</v>
      </c>
      <c r="M187" s="71">
        <f>K187-L187</f>
        <v>0</v>
      </c>
    </row>
    <row r="188" spans="1:13" ht="12.75">
      <c r="A188" s="68" t="s">
        <v>77</v>
      </c>
      <c r="B188" s="65"/>
      <c r="C188" s="70" t="s">
        <v>106</v>
      </c>
      <c r="D188" s="66"/>
      <c r="E188" s="66"/>
      <c r="F188" s="66"/>
      <c r="G188" s="66"/>
      <c r="H188" s="66"/>
      <c r="I188" s="66"/>
      <c r="J188" s="66"/>
      <c r="K188" s="71">
        <f t="shared" si="21"/>
        <v>200000</v>
      </c>
      <c r="L188" s="71">
        <f t="shared" si="21"/>
        <v>200000</v>
      </c>
      <c r="M188" s="71">
        <f>K188-L188</f>
        <v>0</v>
      </c>
    </row>
    <row r="189" spans="1:13" ht="12.75">
      <c r="A189" s="68" t="s">
        <v>81</v>
      </c>
      <c r="B189" s="65"/>
      <c r="C189" s="70" t="s">
        <v>107</v>
      </c>
      <c r="D189" s="66"/>
      <c r="E189" s="66"/>
      <c r="F189" s="66"/>
      <c r="G189" s="66"/>
      <c r="H189" s="66"/>
      <c r="I189" s="66"/>
      <c r="J189" s="66"/>
      <c r="K189" s="71">
        <f t="shared" si="21"/>
        <v>200000</v>
      </c>
      <c r="L189" s="71">
        <f t="shared" si="21"/>
        <v>200000</v>
      </c>
      <c r="M189" s="71">
        <f>K189-L189</f>
        <v>0</v>
      </c>
    </row>
    <row r="190" spans="1:13" ht="12.75">
      <c r="A190" s="68" t="s">
        <v>172</v>
      </c>
      <c r="B190" s="65"/>
      <c r="C190" s="70" t="s">
        <v>53</v>
      </c>
      <c r="D190" s="66"/>
      <c r="E190" s="66"/>
      <c r="F190" s="66"/>
      <c r="G190" s="66"/>
      <c r="H190" s="66"/>
      <c r="I190" s="66"/>
      <c r="J190" s="66"/>
      <c r="K190" s="71">
        <v>200000</v>
      </c>
      <c r="L190" s="71">
        <f>145000+55000</f>
        <v>200000</v>
      </c>
      <c r="M190" s="71">
        <f t="shared" si="1"/>
        <v>0</v>
      </c>
    </row>
    <row r="191" spans="1:17" ht="12.75">
      <c r="A191" s="36" t="s">
        <v>339</v>
      </c>
      <c r="B191" s="37"/>
      <c r="C191" s="38" t="s">
        <v>340</v>
      </c>
      <c r="D191" s="38"/>
      <c r="E191" s="38"/>
      <c r="F191" s="38"/>
      <c r="G191" s="38"/>
      <c r="H191" s="38"/>
      <c r="I191" s="38"/>
      <c r="J191" s="38"/>
      <c r="K191" s="52">
        <f>K192+K219+K246</f>
        <v>34194551.16</v>
      </c>
      <c r="L191" s="52">
        <f>L192+L219+L246</f>
        <v>28715656.74</v>
      </c>
      <c r="M191" s="52">
        <f t="shared" si="1"/>
        <v>5478894.419999998</v>
      </c>
      <c r="Q191" s="57"/>
    </row>
    <row r="192" spans="1:13" ht="12.75">
      <c r="A192" s="36" t="s">
        <v>181</v>
      </c>
      <c r="B192" s="37"/>
      <c r="C192" s="38" t="s">
        <v>341</v>
      </c>
      <c r="D192" s="38"/>
      <c r="E192" s="38"/>
      <c r="F192" s="38"/>
      <c r="G192" s="38"/>
      <c r="H192" s="38"/>
      <c r="I192" s="38"/>
      <c r="J192" s="38"/>
      <c r="K192" s="52">
        <f>K193+K198</f>
        <v>3725903.2</v>
      </c>
      <c r="L192" s="52">
        <f>L193+L198</f>
        <v>1590337.1000000003</v>
      </c>
      <c r="M192" s="52">
        <f t="shared" si="1"/>
        <v>2135566.0999999996</v>
      </c>
    </row>
    <row r="193" spans="1:13" ht="31.5">
      <c r="A193" s="78" t="s">
        <v>352</v>
      </c>
      <c r="B193" s="37"/>
      <c r="C193" s="38" t="s">
        <v>11</v>
      </c>
      <c r="D193" s="38"/>
      <c r="E193" s="38"/>
      <c r="F193" s="38"/>
      <c r="G193" s="38"/>
      <c r="H193" s="38"/>
      <c r="I193" s="38"/>
      <c r="J193" s="38"/>
      <c r="K193" s="52">
        <f>K194</f>
        <v>721050</v>
      </c>
      <c r="L193" s="52">
        <f>L194</f>
        <v>0</v>
      </c>
      <c r="M193" s="52">
        <f t="shared" si="1"/>
        <v>721050</v>
      </c>
    </row>
    <row r="194" spans="1:13" ht="31.5">
      <c r="A194" s="36" t="s">
        <v>559</v>
      </c>
      <c r="B194" s="65"/>
      <c r="C194" s="66" t="s">
        <v>12</v>
      </c>
      <c r="D194" s="66"/>
      <c r="E194" s="66"/>
      <c r="F194" s="66"/>
      <c r="G194" s="66"/>
      <c r="H194" s="66"/>
      <c r="I194" s="66"/>
      <c r="J194" s="66"/>
      <c r="K194" s="67">
        <f>K195</f>
        <v>721050</v>
      </c>
      <c r="L194" s="67">
        <f>L195</f>
        <v>0</v>
      </c>
      <c r="M194" s="67">
        <f t="shared" si="1"/>
        <v>721050</v>
      </c>
    </row>
    <row r="195" spans="1:13" ht="12.75">
      <c r="A195" s="79" t="s">
        <v>354</v>
      </c>
      <c r="B195" s="65"/>
      <c r="C195" s="70" t="s">
        <v>13</v>
      </c>
      <c r="D195" s="66"/>
      <c r="E195" s="66"/>
      <c r="F195" s="66"/>
      <c r="G195" s="66"/>
      <c r="H195" s="66"/>
      <c r="I195" s="66"/>
      <c r="J195" s="66"/>
      <c r="K195" s="71">
        <f>SUM(K196)</f>
        <v>721050</v>
      </c>
      <c r="L195" s="71">
        <f>SUM(L196)</f>
        <v>0</v>
      </c>
      <c r="M195" s="71">
        <f t="shared" si="1"/>
        <v>721050</v>
      </c>
    </row>
    <row r="196" spans="1:13" ht="12.75">
      <c r="A196" s="68" t="s">
        <v>83</v>
      </c>
      <c r="B196" s="65"/>
      <c r="C196" s="70" t="s">
        <v>14</v>
      </c>
      <c r="D196" s="66"/>
      <c r="E196" s="66"/>
      <c r="F196" s="66"/>
      <c r="G196" s="66"/>
      <c r="H196" s="66"/>
      <c r="I196" s="66"/>
      <c r="J196" s="66"/>
      <c r="K196" s="71">
        <f>SUM(K197)</f>
        <v>721050</v>
      </c>
      <c r="L196" s="71">
        <f>SUM(L197)</f>
        <v>0</v>
      </c>
      <c r="M196" s="71">
        <f t="shared" si="1"/>
        <v>721050</v>
      </c>
    </row>
    <row r="197" spans="1:13" ht="12.75">
      <c r="A197" s="68" t="s">
        <v>173</v>
      </c>
      <c r="B197" s="65"/>
      <c r="C197" s="70" t="s">
        <v>15</v>
      </c>
      <c r="D197" s="66"/>
      <c r="E197" s="66"/>
      <c r="F197" s="66"/>
      <c r="G197" s="66"/>
      <c r="H197" s="66"/>
      <c r="I197" s="66"/>
      <c r="J197" s="66"/>
      <c r="K197" s="71">
        <v>721050</v>
      </c>
      <c r="L197" s="71">
        <v>0</v>
      </c>
      <c r="M197" s="71">
        <f t="shared" si="1"/>
        <v>721050</v>
      </c>
    </row>
    <row r="198" spans="1:13" ht="12.75">
      <c r="A198" s="36" t="s">
        <v>342</v>
      </c>
      <c r="B198" s="37"/>
      <c r="C198" s="38" t="s">
        <v>343</v>
      </c>
      <c r="D198" s="38"/>
      <c r="E198" s="38"/>
      <c r="F198" s="38"/>
      <c r="G198" s="38"/>
      <c r="H198" s="38"/>
      <c r="I198" s="38"/>
      <c r="J198" s="38"/>
      <c r="K198" s="52">
        <f>SUM(K199+K207)</f>
        <v>3004853.2</v>
      </c>
      <c r="L198" s="52">
        <f>SUM(L199+L207)</f>
        <v>1590337.1000000003</v>
      </c>
      <c r="M198" s="52">
        <f t="shared" si="1"/>
        <v>1414516.0999999999</v>
      </c>
    </row>
    <row r="199" spans="1:13" ht="31.5">
      <c r="A199" s="64" t="s">
        <v>344</v>
      </c>
      <c r="B199" s="65"/>
      <c r="C199" s="66" t="s">
        <v>345</v>
      </c>
      <c r="D199" s="66"/>
      <c r="E199" s="66"/>
      <c r="F199" s="66"/>
      <c r="G199" s="66"/>
      <c r="H199" s="66"/>
      <c r="I199" s="66"/>
      <c r="J199" s="66"/>
      <c r="K199" s="67">
        <f>K200</f>
        <v>1780553.2</v>
      </c>
      <c r="L199" s="67">
        <f>L200</f>
        <v>1570696.2400000002</v>
      </c>
      <c r="M199" s="67">
        <f t="shared" si="1"/>
        <v>209856.95999999973</v>
      </c>
    </row>
    <row r="200" spans="1:13" ht="22.5">
      <c r="A200" s="68" t="s">
        <v>313</v>
      </c>
      <c r="B200" s="65"/>
      <c r="C200" s="70" t="s">
        <v>346</v>
      </c>
      <c r="D200" s="66"/>
      <c r="E200" s="66"/>
      <c r="F200" s="66"/>
      <c r="G200" s="66"/>
      <c r="H200" s="66"/>
      <c r="I200" s="66"/>
      <c r="J200" s="66"/>
      <c r="K200" s="71">
        <f>SUM(K201,K205)</f>
        <v>1780553.2</v>
      </c>
      <c r="L200" s="71">
        <f>SUM(L201,L205)</f>
        <v>1570696.2400000002</v>
      </c>
      <c r="M200" s="71">
        <f t="shared" si="1"/>
        <v>209856.95999999973</v>
      </c>
    </row>
    <row r="201" spans="1:13" ht="12.75">
      <c r="A201" s="68" t="s">
        <v>77</v>
      </c>
      <c r="B201" s="65"/>
      <c r="C201" s="70" t="s">
        <v>108</v>
      </c>
      <c r="D201" s="66"/>
      <c r="E201" s="66"/>
      <c r="F201" s="66"/>
      <c r="G201" s="66"/>
      <c r="H201" s="66"/>
      <c r="I201" s="66"/>
      <c r="J201" s="66"/>
      <c r="K201" s="71">
        <f>SUM(K202)</f>
        <v>1703553.2</v>
      </c>
      <c r="L201" s="71">
        <f>SUM(L202)</f>
        <v>1528196.8900000001</v>
      </c>
      <c r="M201" s="71">
        <f t="shared" si="1"/>
        <v>175356.30999999982</v>
      </c>
    </row>
    <row r="202" spans="1:13" ht="12.75">
      <c r="A202" s="68" t="s">
        <v>81</v>
      </c>
      <c r="B202" s="65"/>
      <c r="C202" s="70" t="s">
        <v>109</v>
      </c>
      <c r="D202" s="66"/>
      <c r="E202" s="66"/>
      <c r="F202" s="66"/>
      <c r="G202" s="66"/>
      <c r="H202" s="66"/>
      <c r="I202" s="66"/>
      <c r="J202" s="66"/>
      <c r="K202" s="71">
        <f>SUM(K203+K204)</f>
        <v>1703553.2</v>
      </c>
      <c r="L202" s="71">
        <f>SUM(L203+L204)</f>
        <v>1528196.8900000001</v>
      </c>
      <c r="M202" s="71">
        <f t="shared" si="1"/>
        <v>175356.30999999982</v>
      </c>
    </row>
    <row r="203" spans="1:13" ht="12.75">
      <c r="A203" s="68" t="s">
        <v>184</v>
      </c>
      <c r="B203" s="65"/>
      <c r="C203" s="70" t="s">
        <v>48</v>
      </c>
      <c r="D203" s="66"/>
      <c r="E203" s="66"/>
      <c r="F203" s="66"/>
      <c r="G203" s="66"/>
      <c r="H203" s="66"/>
      <c r="I203" s="66"/>
      <c r="J203" s="66"/>
      <c r="K203" s="71">
        <f>228500+52300+683100+681905.56</f>
        <v>1645805.56</v>
      </c>
      <c r="L203" s="71">
        <f>227991.53+1268493.03</f>
        <v>1496484.56</v>
      </c>
      <c r="M203" s="71">
        <f t="shared" si="1"/>
        <v>149321</v>
      </c>
    </row>
    <row r="204" spans="1:13" ht="12.75">
      <c r="A204" s="68" t="s">
        <v>172</v>
      </c>
      <c r="B204" s="65"/>
      <c r="C204" s="70" t="s">
        <v>449</v>
      </c>
      <c r="D204" s="66"/>
      <c r="E204" s="66"/>
      <c r="F204" s="66"/>
      <c r="G204" s="66"/>
      <c r="H204" s="66"/>
      <c r="I204" s="66"/>
      <c r="J204" s="66"/>
      <c r="K204" s="71">
        <f>40700+17047.64</f>
        <v>57747.64</v>
      </c>
      <c r="L204" s="71">
        <f>21314.74+10397.59</f>
        <v>31712.33</v>
      </c>
      <c r="M204" s="71">
        <f t="shared" si="1"/>
        <v>26035.309999999998</v>
      </c>
    </row>
    <row r="205" spans="1:13" ht="12.75">
      <c r="A205" s="68" t="s">
        <v>83</v>
      </c>
      <c r="B205" s="65"/>
      <c r="C205" s="91" t="s">
        <v>526</v>
      </c>
      <c r="D205" s="66"/>
      <c r="E205" s="66"/>
      <c r="F205" s="66"/>
      <c r="G205" s="66"/>
      <c r="H205" s="66"/>
      <c r="I205" s="66"/>
      <c r="J205" s="66"/>
      <c r="K205" s="71">
        <f>K206</f>
        <v>77000</v>
      </c>
      <c r="L205" s="71">
        <f>L206</f>
        <v>42499.35</v>
      </c>
      <c r="M205" s="71">
        <f t="shared" si="1"/>
        <v>34500.65</v>
      </c>
    </row>
    <row r="206" spans="1:13" ht="12.75">
      <c r="A206" s="68" t="s">
        <v>174</v>
      </c>
      <c r="B206" s="65"/>
      <c r="C206" s="91" t="s">
        <v>524</v>
      </c>
      <c r="D206" s="66"/>
      <c r="E206" s="66"/>
      <c r="F206" s="66"/>
      <c r="G206" s="66"/>
      <c r="H206" s="66"/>
      <c r="I206" s="66"/>
      <c r="J206" s="66"/>
      <c r="K206" s="71">
        <v>77000</v>
      </c>
      <c r="L206" s="71">
        <f>26929.35+15570</f>
        <v>42499.35</v>
      </c>
      <c r="M206" s="71">
        <f t="shared" si="1"/>
        <v>34500.65</v>
      </c>
    </row>
    <row r="207" spans="1:13" ht="21">
      <c r="A207" s="64" t="s">
        <v>347</v>
      </c>
      <c r="B207" s="65"/>
      <c r="C207" s="66" t="s">
        <v>348</v>
      </c>
      <c r="D207" s="66"/>
      <c r="E207" s="66"/>
      <c r="F207" s="66"/>
      <c r="G207" s="66"/>
      <c r="H207" s="66"/>
      <c r="I207" s="66"/>
      <c r="J207" s="66"/>
      <c r="K207" s="67">
        <f>K208+K212</f>
        <v>1224300</v>
      </c>
      <c r="L207" s="67">
        <f>L208+L212</f>
        <v>19640.86</v>
      </c>
      <c r="M207" s="67">
        <f t="shared" si="1"/>
        <v>1204659.14</v>
      </c>
    </row>
    <row r="208" spans="1:13" ht="12.75">
      <c r="A208" s="68" t="s">
        <v>324</v>
      </c>
      <c r="B208" s="65"/>
      <c r="C208" s="70" t="s">
        <v>349</v>
      </c>
      <c r="D208" s="66"/>
      <c r="E208" s="66"/>
      <c r="F208" s="66"/>
      <c r="G208" s="66"/>
      <c r="H208" s="66"/>
      <c r="I208" s="66"/>
      <c r="J208" s="66"/>
      <c r="K208" s="71">
        <f aca="true" t="shared" si="22" ref="K208:L210">SUM(K209)</f>
        <v>1190000</v>
      </c>
      <c r="L208" s="71">
        <f t="shared" si="22"/>
        <v>0</v>
      </c>
      <c r="M208" s="71">
        <f t="shared" si="1"/>
        <v>1190000</v>
      </c>
    </row>
    <row r="209" spans="1:13" ht="12.75">
      <c r="A209" s="68" t="s">
        <v>77</v>
      </c>
      <c r="B209" s="65"/>
      <c r="C209" s="70" t="s">
        <v>110</v>
      </c>
      <c r="D209" s="66"/>
      <c r="E209" s="66"/>
      <c r="F209" s="66"/>
      <c r="G209" s="66"/>
      <c r="H209" s="66"/>
      <c r="I209" s="66"/>
      <c r="J209" s="66"/>
      <c r="K209" s="71">
        <f t="shared" si="22"/>
        <v>1190000</v>
      </c>
      <c r="L209" s="71">
        <f t="shared" si="22"/>
        <v>0</v>
      </c>
      <c r="M209" s="71">
        <f t="shared" si="1"/>
        <v>1190000</v>
      </c>
    </row>
    <row r="210" spans="1:13" ht="12.75">
      <c r="A210" s="68" t="s">
        <v>103</v>
      </c>
      <c r="B210" s="65"/>
      <c r="C210" s="70" t="s">
        <v>111</v>
      </c>
      <c r="D210" s="66"/>
      <c r="E210" s="66"/>
      <c r="F210" s="66"/>
      <c r="G210" s="66"/>
      <c r="H210" s="66"/>
      <c r="I210" s="66"/>
      <c r="J210" s="66"/>
      <c r="K210" s="71">
        <f t="shared" si="22"/>
        <v>1190000</v>
      </c>
      <c r="L210" s="71">
        <f t="shared" si="22"/>
        <v>0</v>
      </c>
      <c r="M210" s="71">
        <f t="shared" si="1"/>
        <v>1190000</v>
      </c>
    </row>
    <row r="211" spans="1:13" ht="33.75">
      <c r="A211" s="68" t="s">
        <v>189</v>
      </c>
      <c r="B211" s="65"/>
      <c r="C211" s="70" t="s">
        <v>49</v>
      </c>
      <c r="D211" s="66"/>
      <c r="E211" s="66"/>
      <c r="F211" s="66"/>
      <c r="G211" s="66"/>
      <c r="H211" s="66"/>
      <c r="I211" s="66"/>
      <c r="J211" s="66"/>
      <c r="K211" s="71">
        <v>1190000</v>
      </c>
      <c r="L211" s="71">
        <v>0</v>
      </c>
      <c r="M211" s="71">
        <f t="shared" si="1"/>
        <v>1190000</v>
      </c>
    </row>
    <row r="212" spans="1:13" ht="22.5">
      <c r="A212" s="68" t="s">
        <v>266</v>
      </c>
      <c r="B212" s="65"/>
      <c r="C212" s="70" t="s">
        <v>350</v>
      </c>
      <c r="D212" s="66"/>
      <c r="E212" s="66"/>
      <c r="F212" s="66"/>
      <c r="G212" s="66"/>
      <c r="H212" s="66"/>
      <c r="I212" s="66"/>
      <c r="J212" s="66"/>
      <c r="K212" s="71">
        <f>K213+K216</f>
        <v>34300</v>
      </c>
      <c r="L212" s="71">
        <f>L213+L216</f>
        <v>19640.86</v>
      </c>
      <c r="M212" s="71">
        <f t="shared" si="1"/>
        <v>14659.14</v>
      </c>
    </row>
    <row r="213" spans="1:13" ht="12.75">
      <c r="A213" s="68" t="s">
        <v>77</v>
      </c>
      <c r="B213" s="65"/>
      <c r="C213" s="70" t="s">
        <v>112</v>
      </c>
      <c r="D213" s="66"/>
      <c r="E213" s="66"/>
      <c r="F213" s="66"/>
      <c r="G213" s="66"/>
      <c r="H213" s="66"/>
      <c r="I213" s="66"/>
      <c r="J213" s="66"/>
      <c r="K213" s="71">
        <f>SUM(K214)</f>
        <v>19400</v>
      </c>
      <c r="L213" s="71">
        <f>SUM(L214)</f>
        <v>4810.86</v>
      </c>
      <c r="M213" s="71">
        <f t="shared" si="1"/>
        <v>14589.14</v>
      </c>
    </row>
    <row r="214" spans="1:13" ht="12.75">
      <c r="A214" s="68" t="s">
        <v>81</v>
      </c>
      <c r="B214" s="65"/>
      <c r="C214" s="70" t="s">
        <v>113</v>
      </c>
      <c r="D214" s="66"/>
      <c r="E214" s="66"/>
      <c r="F214" s="66"/>
      <c r="G214" s="66"/>
      <c r="H214" s="66"/>
      <c r="I214" s="66"/>
      <c r="J214" s="66"/>
      <c r="K214" s="71">
        <f>K215</f>
        <v>19400</v>
      </c>
      <c r="L214" s="71">
        <f>L215</f>
        <v>4810.86</v>
      </c>
      <c r="M214" s="71">
        <f t="shared" si="1"/>
        <v>14589.14</v>
      </c>
    </row>
    <row r="215" spans="1:13" ht="12.75">
      <c r="A215" s="68" t="s">
        <v>172</v>
      </c>
      <c r="B215" s="65"/>
      <c r="C215" s="70" t="s">
        <v>50</v>
      </c>
      <c r="D215" s="66"/>
      <c r="E215" s="66"/>
      <c r="F215" s="66"/>
      <c r="G215" s="66"/>
      <c r="H215" s="66"/>
      <c r="I215" s="66"/>
      <c r="J215" s="66"/>
      <c r="K215" s="71">
        <v>19400</v>
      </c>
      <c r="L215" s="71">
        <v>4810.86</v>
      </c>
      <c r="M215" s="71">
        <f t="shared" si="1"/>
        <v>14589.14</v>
      </c>
    </row>
    <row r="216" spans="1:13" ht="12.75">
      <c r="A216" s="68" t="s">
        <v>83</v>
      </c>
      <c r="B216" s="69"/>
      <c r="C216" s="70" t="s">
        <v>454</v>
      </c>
      <c r="D216" s="66"/>
      <c r="E216" s="66"/>
      <c r="F216" s="66"/>
      <c r="G216" s="66"/>
      <c r="H216" s="66"/>
      <c r="I216" s="66"/>
      <c r="J216" s="66"/>
      <c r="K216" s="71">
        <f>K217+K218</f>
        <v>14900</v>
      </c>
      <c r="L216" s="71">
        <f>L217+L218</f>
        <v>14830</v>
      </c>
      <c r="M216" s="71">
        <f t="shared" si="1"/>
        <v>70</v>
      </c>
    </row>
    <row r="217" spans="1:13" ht="12.75">
      <c r="A217" s="68" t="s">
        <v>173</v>
      </c>
      <c r="B217" s="74"/>
      <c r="C217" s="70" t="s">
        <v>525</v>
      </c>
      <c r="D217" s="66"/>
      <c r="E217" s="66"/>
      <c r="F217" s="66"/>
      <c r="G217" s="66"/>
      <c r="H217" s="66"/>
      <c r="I217" s="66"/>
      <c r="J217" s="66"/>
      <c r="K217" s="71">
        <v>14900</v>
      </c>
      <c r="L217" s="71">
        <v>14830</v>
      </c>
      <c r="M217" s="71">
        <f t="shared" si="1"/>
        <v>70</v>
      </c>
    </row>
    <row r="218" spans="1:13" ht="12.75">
      <c r="A218" s="68" t="s">
        <v>174</v>
      </c>
      <c r="B218" s="69"/>
      <c r="C218" s="70" t="s">
        <v>455</v>
      </c>
      <c r="D218" s="66"/>
      <c r="E218" s="66"/>
      <c r="F218" s="66"/>
      <c r="G218" s="66"/>
      <c r="H218" s="66"/>
      <c r="I218" s="66"/>
      <c r="J218" s="66"/>
      <c r="K218" s="71">
        <v>0</v>
      </c>
      <c r="L218" s="71">
        <v>0</v>
      </c>
      <c r="M218" s="71">
        <f t="shared" si="1"/>
        <v>0</v>
      </c>
    </row>
    <row r="219" spans="1:13" ht="12.75">
      <c r="A219" s="36" t="s">
        <v>182</v>
      </c>
      <c r="B219" s="37"/>
      <c r="C219" s="38" t="s">
        <v>351</v>
      </c>
      <c r="D219" s="49"/>
      <c r="E219" s="49"/>
      <c r="F219" s="49"/>
      <c r="G219" s="49"/>
      <c r="H219" s="49"/>
      <c r="I219" s="49"/>
      <c r="J219" s="49"/>
      <c r="K219" s="52">
        <f>SUM(K220+K225+K240)</f>
        <v>22345717.96</v>
      </c>
      <c r="L219" s="52">
        <f>SUM(L220+L225+L240)</f>
        <v>20365015.619999997</v>
      </c>
      <c r="M219" s="52">
        <f t="shared" si="1"/>
        <v>1980702.3400000036</v>
      </c>
    </row>
    <row r="220" spans="1:13" ht="31.5">
      <c r="A220" s="78" t="s">
        <v>352</v>
      </c>
      <c r="B220" s="37"/>
      <c r="C220" s="38" t="s">
        <v>557</v>
      </c>
      <c r="D220" s="38"/>
      <c r="E220" s="38"/>
      <c r="F220" s="38"/>
      <c r="G220" s="38"/>
      <c r="H220" s="38"/>
      <c r="I220" s="38"/>
      <c r="J220" s="38"/>
      <c r="K220" s="52">
        <f aca="true" t="shared" si="23" ref="K220:L222">K221</f>
        <v>1693400</v>
      </c>
      <c r="L220" s="52">
        <f t="shared" si="23"/>
        <v>1684838.08</v>
      </c>
      <c r="M220" s="52">
        <f t="shared" si="1"/>
        <v>8561.919999999925</v>
      </c>
    </row>
    <row r="221" spans="1:13" ht="31.5">
      <c r="A221" s="36" t="s">
        <v>559</v>
      </c>
      <c r="B221" s="37"/>
      <c r="C221" s="38" t="s">
        <v>558</v>
      </c>
      <c r="D221" s="38"/>
      <c r="E221" s="38"/>
      <c r="F221" s="38"/>
      <c r="G221" s="38"/>
      <c r="H221" s="38"/>
      <c r="I221" s="38"/>
      <c r="J221" s="38"/>
      <c r="K221" s="52">
        <f t="shared" si="23"/>
        <v>1693400</v>
      </c>
      <c r="L221" s="52">
        <f t="shared" si="23"/>
        <v>1684838.08</v>
      </c>
      <c r="M221" s="52">
        <f t="shared" si="1"/>
        <v>8561.919999999925</v>
      </c>
    </row>
    <row r="222" spans="1:13" ht="12.75">
      <c r="A222" s="79" t="s">
        <v>354</v>
      </c>
      <c r="B222" s="37"/>
      <c r="C222" s="80" t="s">
        <v>560</v>
      </c>
      <c r="D222" s="49"/>
      <c r="E222" s="49"/>
      <c r="F222" s="49"/>
      <c r="G222" s="49"/>
      <c r="H222" s="49"/>
      <c r="I222" s="49"/>
      <c r="J222" s="49"/>
      <c r="K222" s="81">
        <f t="shared" si="23"/>
        <v>1693400</v>
      </c>
      <c r="L222" s="81">
        <f t="shared" si="23"/>
        <v>1684838.08</v>
      </c>
      <c r="M222" s="53">
        <f t="shared" si="1"/>
        <v>8561.919999999925</v>
      </c>
    </row>
    <row r="223" spans="1:13" ht="12.75">
      <c r="A223" s="68" t="s">
        <v>83</v>
      </c>
      <c r="B223" s="37"/>
      <c r="C223" s="80" t="s">
        <v>561</v>
      </c>
      <c r="D223" s="49"/>
      <c r="E223" s="49"/>
      <c r="F223" s="49"/>
      <c r="G223" s="49"/>
      <c r="H223" s="49"/>
      <c r="I223" s="49"/>
      <c r="J223" s="49"/>
      <c r="K223" s="81">
        <f>K224</f>
        <v>1693400</v>
      </c>
      <c r="L223" s="81">
        <f>L224</f>
        <v>1684838.08</v>
      </c>
      <c r="M223" s="53">
        <f t="shared" si="1"/>
        <v>8561.919999999925</v>
      </c>
    </row>
    <row r="224" spans="1:13" ht="12.75">
      <c r="A224" s="68" t="s">
        <v>173</v>
      </c>
      <c r="B224" s="37"/>
      <c r="C224" s="80" t="s">
        <v>562</v>
      </c>
      <c r="D224" s="49"/>
      <c r="E224" s="49"/>
      <c r="F224" s="49"/>
      <c r="G224" s="49"/>
      <c r="H224" s="49"/>
      <c r="I224" s="49"/>
      <c r="J224" s="49"/>
      <c r="K224" s="81">
        <v>1693400</v>
      </c>
      <c r="L224" s="81">
        <v>1684838.08</v>
      </c>
      <c r="M224" s="53">
        <f>K224-L224</f>
        <v>8561.919999999925</v>
      </c>
    </row>
    <row r="225" spans="1:13" ht="12.75">
      <c r="A225" s="36" t="s">
        <v>355</v>
      </c>
      <c r="B225" s="37"/>
      <c r="C225" s="38" t="s">
        <v>356</v>
      </c>
      <c r="D225" s="49"/>
      <c r="E225" s="49"/>
      <c r="F225" s="49"/>
      <c r="G225" s="49"/>
      <c r="H225" s="49"/>
      <c r="I225" s="49"/>
      <c r="J225" s="49"/>
      <c r="K225" s="52">
        <f>K226+K231</f>
        <v>19742317.96</v>
      </c>
      <c r="L225" s="52">
        <f>L226+L231</f>
        <v>18680177.54</v>
      </c>
      <c r="M225" s="52">
        <f t="shared" si="1"/>
        <v>1062140.4200000018</v>
      </c>
    </row>
    <row r="226" spans="1:13" ht="31.5">
      <c r="A226" s="36" t="s">
        <v>39</v>
      </c>
      <c r="B226" s="37"/>
      <c r="C226" s="38" t="s">
        <v>479</v>
      </c>
      <c r="D226" s="38"/>
      <c r="E226" s="38"/>
      <c r="F226" s="38"/>
      <c r="G226" s="38"/>
      <c r="H226" s="38"/>
      <c r="I226" s="38"/>
      <c r="J226" s="38"/>
      <c r="K226" s="52">
        <f>K227</f>
        <v>9267700</v>
      </c>
      <c r="L226" s="52">
        <f>L227</f>
        <v>9267700</v>
      </c>
      <c r="M226" s="52">
        <f aca="true" t="shared" si="24" ref="M226:M331">K226-L226</f>
        <v>0</v>
      </c>
    </row>
    <row r="227" spans="1:13" ht="12.75">
      <c r="A227" s="39" t="s">
        <v>324</v>
      </c>
      <c r="B227" s="37"/>
      <c r="C227" s="93" t="s">
        <v>480</v>
      </c>
      <c r="D227" s="38"/>
      <c r="E227" s="38"/>
      <c r="F227" s="38"/>
      <c r="G227" s="38"/>
      <c r="H227" s="38"/>
      <c r="I227" s="38"/>
      <c r="J227" s="38"/>
      <c r="K227" s="71">
        <f>SUM(K228)</f>
        <v>9267700</v>
      </c>
      <c r="L227" s="71">
        <f>SUM(L228)</f>
        <v>9267700</v>
      </c>
      <c r="M227" s="53">
        <f t="shared" si="24"/>
        <v>0</v>
      </c>
    </row>
    <row r="228" spans="1:13" ht="12.75">
      <c r="A228" s="68" t="s">
        <v>77</v>
      </c>
      <c r="B228" s="37"/>
      <c r="C228" s="93" t="s">
        <v>481</v>
      </c>
      <c r="D228" s="38"/>
      <c r="E228" s="38"/>
      <c r="F228" s="38"/>
      <c r="G228" s="38"/>
      <c r="H228" s="38"/>
      <c r="I228" s="38"/>
      <c r="J228" s="38"/>
      <c r="K228" s="71">
        <f>SUM(K229)</f>
        <v>9267700</v>
      </c>
      <c r="L228" s="71">
        <f>SUM(L229)</f>
        <v>9267700</v>
      </c>
      <c r="M228" s="53">
        <f t="shared" si="24"/>
        <v>0</v>
      </c>
    </row>
    <row r="229" spans="1:13" ht="12.75">
      <c r="A229" s="68" t="s">
        <v>103</v>
      </c>
      <c r="B229" s="37"/>
      <c r="C229" s="93" t="s">
        <v>482</v>
      </c>
      <c r="D229" s="38"/>
      <c r="E229" s="38"/>
      <c r="F229" s="38"/>
      <c r="G229" s="38"/>
      <c r="H229" s="38"/>
      <c r="I229" s="38"/>
      <c r="J229" s="38"/>
      <c r="K229" s="53">
        <f>K230</f>
        <v>9267700</v>
      </c>
      <c r="L229" s="53">
        <f>L230</f>
        <v>9267700</v>
      </c>
      <c r="M229" s="53">
        <f t="shared" si="24"/>
        <v>0</v>
      </c>
    </row>
    <row r="230" spans="1:13" ht="33.75">
      <c r="A230" s="68" t="s">
        <v>189</v>
      </c>
      <c r="B230" s="37"/>
      <c r="C230" s="93" t="s">
        <v>483</v>
      </c>
      <c r="D230" s="38"/>
      <c r="E230" s="38"/>
      <c r="F230" s="38"/>
      <c r="G230" s="38"/>
      <c r="H230" s="38"/>
      <c r="I230" s="38"/>
      <c r="J230" s="38"/>
      <c r="K230" s="53">
        <v>9267700</v>
      </c>
      <c r="L230" s="53">
        <f>3887800+5379900</f>
        <v>9267700</v>
      </c>
      <c r="M230" s="53">
        <f>K230-L230</f>
        <v>0</v>
      </c>
    </row>
    <row r="231" spans="1:13" ht="21">
      <c r="A231" s="64" t="s">
        <v>357</v>
      </c>
      <c r="B231" s="65"/>
      <c r="C231" s="66" t="s">
        <v>358</v>
      </c>
      <c r="D231" s="66"/>
      <c r="E231" s="66"/>
      <c r="F231" s="66"/>
      <c r="G231" s="66"/>
      <c r="H231" s="66"/>
      <c r="I231" s="66"/>
      <c r="J231" s="66"/>
      <c r="K231" s="67">
        <f>K232</f>
        <v>10474617.96</v>
      </c>
      <c r="L231" s="67">
        <f>L232</f>
        <v>9412477.540000001</v>
      </c>
      <c r="M231" s="67">
        <f t="shared" si="24"/>
        <v>1062140.42</v>
      </c>
    </row>
    <row r="232" spans="1:14" ht="22.5">
      <c r="A232" s="68" t="s">
        <v>266</v>
      </c>
      <c r="B232" s="65"/>
      <c r="C232" s="70" t="s">
        <v>359</v>
      </c>
      <c r="D232" s="70"/>
      <c r="E232" s="70"/>
      <c r="F232" s="70"/>
      <c r="G232" s="70"/>
      <c r="H232" s="70"/>
      <c r="I232" s="70"/>
      <c r="J232" s="70"/>
      <c r="K232" s="71">
        <f>SUM(K233+K237)</f>
        <v>10474617.96</v>
      </c>
      <c r="L232" s="71">
        <f>SUM(L233+L237)</f>
        <v>9412477.540000001</v>
      </c>
      <c r="M232" s="71">
        <f t="shared" si="24"/>
        <v>1062140.42</v>
      </c>
      <c r="N232" s="57"/>
    </row>
    <row r="233" spans="1:14" ht="12.75">
      <c r="A233" s="68" t="s">
        <v>77</v>
      </c>
      <c r="B233" s="65"/>
      <c r="C233" s="70" t="s">
        <v>114</v>
      </c>
      <c r="D233" s="70"/>
      <c r="E233" s="70"/>
      <c r="F233" s="70"/>
      <c r="G233" s="70"/>
      <c r="H233" s="70"/>
      <c r="I233" s="70"/>
      <c r="J233" s="70"/>
      <c r="K233" s="71">
        <f>SUM(K234)</f>
        <v>10027317.96</v>
      </c>
      <c r="L233" s="71">
        <f>SUM(L234)</f>
        <v>8971182.600000001</v>
      </c>
      <c r="M233" s="71">
        <f t="shared" si="24"/>
        <v>1056135.3599999994</v>
      </c>
      <c r="N233" s="57"/>
    </row>
    <row r="234" spans="1:14" ht="12.75">
      <c r="A234" s="68" t="s">
        <v>81</v>
      </c>
      <c r="B234" s="65"/>
      <c r="C234" s="70" t="s">
        <v>115</v>
      </c>
      <c r="D234" s="70"/>
      <c r="E234" s="70"/>
      <c r="F234" s="70"/>
      <c r="G234" s="70"/>
      <c r="H234" s="70"/>
      <c r="I234" s="70"/>
      <c r="J234" s="70"/>
      <c r="K234" s="71">
        <f>SUM(K235:K236)</f>
        <v>10027317.96</v>
      </c>
      <c r="L234" s="71">
        <f>SUM(L235:L236)</f>
        <v>8971182.600000001</v>
      </c>
      <c r="M234" s="71">
        <f t="shared" si="24"/>
        <v>1056135.3599999994</v>
      </c>
      <c r="N234" s="57"/>
    </row>
    <row r="235" spans="1:13" ht="12.75">
      <c r="A235" s="68" t="s">
        <v>184</v>
      </c>
      <c r="B235" s="65"/>
      <c r="C235" s="70" t="s">
        <v>54</v>
      </c>
      <c r="D235" s="70"/>
      <c r="E235" s="70"/>
      <c r="F235" s="70"/>
      <c r="G235" s="70"/>
      <c r="H235" s="70"/>
      <c r="I235" s="70"/>
      <c r="J235" s="70"/>
      <c r="K235" s="71">
        <f>194500+85638.91+7671000+1364659.56</f>
        <v>9315798.47</v>
      </c>
      <c r="L235" s="71">
        <f>5176960.09+3241137.96</f>
        <v>8418098.05</v>
      </c>
      <c r="M235" s="71">
        <f t="shared" si="24"/>
        <v>897700.4199999999</v>
      </c>
    </row>
    <row r="236" spans="1:13" ht="12.75">
      <c r="A236" s="68" t="s">
        <v>172</v>
      </c>
      <c r="B236" s="65"/>
      <c r="C236" s="70" t="s">
        <v>55</v>
      </c>
      <c r="D236" s="70"/>
      <c r="E236" s="70"/>
      <c r="F236" s="70"/>
      <c r="G236" s="70"/>
      <c r="H236" s="70"/>
      <c r="I236" s="70"/>
      <c r="J236" s="70"/>
      <c r="K236" s="71">
        <f>677403+34116.49</f>
        <v>711519.49</v>
      </c>
      <c r="L236" s="71">
        <f>380303.82+19600+153180.73</f>
        <v>553084.55</v>
      </c>
      <c r="M236" s="71">
        <f t="shared" si="24"/>
        <v>158434.93999999994</v>
      </c>
    </row>
    <row r="237" spans="1:13" ht="12.75">
      <c r="A237" s="68" t="s">
        <v>83</v>
      </c>
      <c r="B237" s="65"/>
      <c r="C237" s="70" t="s">
        <v>116</v>
      </c>
      <c r="D237" s="70"/>
      <c r="E237" s="70"/>
      <c r="F237" s="70"/>
      <c r="G237" s="70"/>
      <c r="H237" s="70"/>
      <c r="I237" s="70"/>
      <c r="J237" s="70"/>
      <c r="K237" s="71">
        <f>SUM(K238:K239)</f>
        <v>447300</v>
      </c>
      <c r="L237" s="71">
        <f>SUM(L238:L239)</f>
        <v>441294.94</v>
      </c>
      <c r="M237" s="71">
        <f t="shared" si="24"/>
        <v>6005.059999999998</v>
      </c>
    </row>
    <row r="238" spans="1:13" ht="12.75">
      <c r="A238" s="68" t="s">
        <v>173</v>
      </c>
      <c r="B238" s="65"/>
      <c r="C238" s="70" t="s">
        <v>56</v>
      </c>
      <c r="D238" s="70"/>
      <c r="E238" s="70"/>
      <c r="F238" s="70"/>
      <c r="G238" s="70"/>
      <c r="H238" s="70"/>
      <c r="I238" s="70"/>
      <c r="J238" s="70"/>
      <c r="K238" s="71">
        <v>336600</v>
      </c>
      <c r="L238" s="71">
        <f>83530+249009</f>
        <v>332539</v>
      </c>
      <c r="M238" s="71">
        <f t="shared" si="24"/>
        <v>4061</v>
      </c>
    </row>
    <row r="239" spans="1:13" ht="12.75">
      <c r="A239" s="68" t="s">
        <v>174</v>
      </c>
      <c r="B239" s="65"/>
      <c r="C239" s="70" t="s">
        <v>57</v>
      </c>
      <c r="D239" s="70"/>
      <c r="E239" s="70"/>
      <c r="F239" s="70"/>
      <c r="G239" s="70"/>
      <c r="H239" s="70"/>
      <c r="I239" s="70"/>
      <c r="J239" s="70"/>
      <c r="K239" s="71">
        <v>110700</v>
      </c>
      <c r="L239" s="71">
        <f>79565.94+11456+12104+5630</f>
        <v>108755.94</v>
      </c>
      <c r="M239" s="71">
        <f t="shared" si="24"/>
        <v>1944.0599999999977</v>
      </c>
    </row>
    <row r="240" spans="1:13" ht="21">
      <c r="A240" s="36" t="s">
        <v>316</v>
      </c>
      <c r="B240" s="65"/>
      <c r="C240" s="66" t="s">
        <v>580</v>
      </c>
      <c r="D240" s="66"/>
      <c r="E240" s="66"/>
      <c r="F240" s="66"/>
      <c r="G240" s="66"/>
      <c r="H240" s="66"/>
      <c r="I240" s="66"/>
      <c r="J240" s="66"/>
      <c r="K240" s="67">
        <f>K242</f>
        <v>910000</v>
      </c>
      <c r="L240" s="67">
        <f>L242</f>
        <v>0</v>
      </c>
      <c r="M240" s="67">
        <f t="shared" si="24"/>
        <v>910000</v>
      </c>
    </row>
    <row r="241" spans="1:13" ht="42">
      <c r="A241" s="36" t="s">
        <v>633</v>
      </c>
      <c r="B241" s="65"/>
      <c r="C241" s="66" t="s">
        <v>40</v>
      </c>
      <c r="D241" s="66"/>
      <c r="E241" s="66"/>
      <c r="F241" s="66"/>
      <c r="G241" s="66"/>
      <c r="H241" s="66"/>
      <c r="I241" s="66"/>
      <c r="J241" s="66"/>
      <c r="K241" s="67">
        <f>K242</f>
        <v>910000</v>
      </c>
      <c r="L241" s="67">
        <f>L242</f>
        <v>0</v>
      </c>
      <c r="M241" s="67">
        <f t="shared" si="24"/>
        <v>910000</v>
      </c>
    </row>
    <row r="242" spans="1:13" ht="56.25">
      <c r="A242" s="75" t="s">
        <v>581</v>
      </c>
      <c r="B242" s="65"/>
      <c r="C242" s="66" t="s">
        <v>582</v>
      </c>
      <c r="D242" s="66"/>
      <c r="E242" s="66"/>
      <c r="F242" s="66"/>
      <c r="G242" s="66"/>
      <c r="H242" s="66"/>
      <c r="I242" s="66"/>
      <c r="J242" s="66"/>
      <c r="K242" s="67">
        <f aca="true" t="shared" si="25" ref="K242:L244">K243</f>
        <v>910000</v>
      </c>
      <c r="L242" s="67">
        <f t="shared" si="25"/>
        <v>0</v>
      </c>
      <c r="M242" s="67">
        <f t="shared" si="24"/>
        <v>910000</v>
      </c>
    </row>
    <row r="243" spans="1:13" ht="22.5">
      <c r="A243" s="68" t="s">
        <v>266</v>
      </c>
      <c r="B243" s="69"/>
      <c r="C243" s="70" t="s">
        <v>583</v>
      </c>
      <c r="D243" s="70"/>
      <c r="E243" s="70"/>
      <c r="F243" s="70"/>
      <c r="G243" s="70"/>
      <c r="H243" s="70"/>
      <c r="I243" s="70"/>
      <c r="J243" s="70"/>
      <c r="K243" s="71">
        <f t="shared" si="25"/>
        <v>910000</v>
      </c>
      <c r="L243" s="71">
        <f t="shared" si="25"/>
        <v>0</v>
      </c>
      <c r="M243" s="71">
        <f t="shared" si="24"/>
        <v>910000</v>
      </c>
    </row>
    <row r="244" spans="1:13" ht="12.75">
      <c r="A244" s="68" t="s">
        <v>83</v>
      </c>
      <c r="B244" s="65"/>
      <c r="C244" s="70" t="s">
        <v>584</v>
      </c>
      <c r="D244" s="70"/>
      <c r="E244" s="70"/>
      <c r="F244" s="70"/>
      <c r="G244" s="70"/>
      <c r="H244" s="70"/>
      <c r="I244" s="70"/>
      <c r="J244" s="70"/>
      <c r="K244" s="71">
        <f t="shared" si="25"/>
        <v>910000</v>
      </c>
      <c r="L244" s="71">
        <f t="shared" si="25"/>
        <v>0</v>
      </c>
      <c r="M244" s="71">
        <f t="shared" si="24"/>
        <v>910000</v>
      </c>
    </row>
    <row r="245" spans="1:13" ht="12.75">
      <c r="A245" s="68" t="s">
        <v>173</v>
      </c>
      <c r="B245" s="65"/>
      <c r="C245" s="70" t="s">
        <v>585</v>
      </c>
      <c r="D245" s="70"/>
      <c r="E245" s="70"/>
      <c r="F245" s="70"/>
      <c r="G245" s="70"/>
      <c r="H245" s="70"/>
      <c r="I245" s="70"/>
      <c r="J245" s="70"/>
      <c r="K245" s="71">
        <v>910000</v>
      </c>
      <c r="L245" s="71">
        <v>0</v>
      </c>
      <c r="M245" s="71">
        <f t="shared" si="24"/>
        <v>910000</v>
      </c>
    </row>
    <row r="246" spans="1:17" ht="12.75">
      <c r="A246" s="36" t="s">
        <v>183</v>
      </c>
      <c r="B246" s="37"/>
      <c r="C246" s="38" t="s">
        <v>360</v>
      </c>
      <c r="D246" s="49"/>
      <c r="E246" s="49"/>
      <c r="F246" s="49"/>
      <c r="G246" s="49"/>
      <c r="H246" s="49"/>
      <c r="I246" s="49"/>
      <c r="J246" s="49"/>
      <c r="K246" s="52">
        <f>K247+K252</f>
        <v>8122930</v>
      </c>
      <c r="L246" s="52">
        <f>L247+L252</f>
        <v>6760304.0200000005</v>
      </c>
      <c r="M246" s="52">
        <f t="shared" si="24"/>
        <v>1362625.9799999995</v>
      </c>
      <c r="O246">
        <v>10020300</v>
      </c>
      <c r="Q246" s="57">
        <f>K246-O246</f>
        <v>-1897370</v>
      </c>
    </row>
    <row r="247" spans="1:16" ht="31.5">
      <c r="A247" s="36" t="s">
        <v>352</v>
      </c>
      <c r="B247" s="37"/>
      <c r="C247" s="38" t="s">
        <v>361</v>
      </c>
      <c r="D247" s="49"/>
      <c r="E247" s="49"/>
      <c r="F247" s="49"/>
      <c r="G247" s="49"/>
      <c r="H247" s="49"/>
      <c r="I247" s="49"/>
      <c r="J247" s="49"/>
      <c r="K247" s="52">
        <f>K248</f>
        <v>497900</v>
      </c>
      <c r="L247" s="52">
        <f>L248</f>
        <v>497831.4</v>
      </c>
      <c r="M247" s="52">
        <f t="shared" si="24"/>
        <v>68.59999999997672</v>
      </c>
      <c r="P247" s="96"/>
    </row>
    <row r="248" spans="1:16" ht="31.5">
      <c r="A248" s="64" t="s">
        <v>353</v>
      </c>
      <c r="B248" s="65"/>
      <c r="C248" s="66" t="s">
        <v>362</v>
      </c>
      <c r="D248" s="66"/>
      <c r="E248" s="66"/>
      <c r="F248" s="66"/>
      <c r="G248" s="66"/>
      <c r="H248" s="66"/>
      <c r="I248" s="66"/>
      <c r="J248" s="66"/>
      <c r="K248" s="67">
        <f>K249</f>
        <v>497900</v>
      </c>
      <c r="L248" s="67">
        <f>L249</f>
        <v>497831.4</v>
      </c>
      <c r="M248" s="67">
        <f t="shared" si="24"/>
        <v>68.59999999997672</v>
      </c>
      <c r="P248" s="57"/>
    </row>
    <row r="249" spans="1:13" ht="12.75">
      <c r="A249" s="68" t="s">
        <v>354</v>
      </c>
      <c r="B249" s="65"/>
      <c r="C249" s="70" t="s">
        <v>363</v>
      </c>
      <c r="D249" s="66"/>
      <c r="E249" s="66"/>
      <c r="F249" s="66"/>
      <c r="G249" s="66"/>
      <c r="H249" s="66"/>
      <c r="I249" s="66"/>
      <c r="J249" s="66"/>
      <c r="K249" s="71">
        <f>SUM(K250)</f>
        <v>497900</v>
      </c>
      <c r="L249" s="71">
        <f>SUM(L250)</f>
        <v>497831.4</v>
      </c>
      <c r="M249" s="71">
        <f t="shared" si="24"/>
        <v>68.59999999997672</v>
      </c>
    </row>
    <row r="250" spans="1:13" ht="12.75">
      <c r="A250" s="68" t="s">
        <v>83</v>
      </c>
      <c r="B250" s="65"/>
      <c r="C250" s="70" t="s">
        <v>117</v>
      </c>
      <c r="D250" s="66"/>
      <c r="E250" s="66"/>
      <c r="F250" s="66"/>
      <c r="G250" s="66"/>
      <c r="H250" s="66"/>
      <c r="I250" s="66"/>
      <c r="J250" s="66"/>
      <c r="K250" s="71">
        <f>SUM(K251)</f>
        <v>497900</v>
      </c>
      <c r="L250" s="71">
        <f>SUM(L251)</f>
        <v>497831.4</v>
      </c>
      <c r="M250" s="71">
        <f t="shared" si="24"/>
        <v>68.59999999997672</v>
      </c>
    </row>
    <row r="251" spans="1:13" ht="12.75">
      <c r="A251" s="68" t="s">
        <v>173</v>
      </c>
      <c r="B251" s="65"/>
      <c r="C251" s="70" t="s">
        <v>66</v>
      </c>
      <c r="D251" s="66"/>
      <c r="E251" s="66"/>
      <c r="F251" s="66"/>
      <c r="G251" s="66"/>
      <c r="H251" s="66"/>
      <c r="I251" s="66"/>
      <c r="J251" s="66"/>
      <c r="K251" s="71">
        <v>497900</v>
      </c>
      <c r="L251" s="71">
        <f>497831.4</f>
        <v>497831.4</v>
      </c>
      <c r="M251" s="71">
        <f t="shared" si="24"/>
        <v>68.59999999997672</v>
      </c>
    </row>
    <row r="252" spans="1:13" ht="12.75">
      <c r="A252" s="36" t="s">
        <v>183</v>
      </c>
      <c r="B252" s="37"/>
      <c r="C252" s="38" t="s">
        <v>364</v>
      </c>
      <c r="D252" s="49"/>
      <c r="E252" s="49"/>
      <c r="F252" s="49"/>
      <c r="G252" s="49"/>
      <c r="H252" s="49"/>
      <c r="I252" s="49"/>
      <c r="J252" s="49"/>
      <c r="K252" s="52">
        <f>K253+K263+K268+K275+K282</f>
        <v>7625030</v>
      </c>
      <c r="L252" s="52">
        <f>L253+L263+L268+L275+L282</f>
        <v>6262472.62</v>
      </c>
      <c r="M252" s="52">
        <f t="shared" si="24"/>
        <v>1362557.38</v>
      </c>
    </row>
    <row r="253" spans="1:13" ht="12.75">
      <c r="A253" s="64" t="s">
        <v>365</v>
      </c>
      <c r="B253" s="65"/>
      <c r="C253" s="66" t="s">
        <v>366</v>
      </c>
      <c r="D253" s="70"/>
      <c r="E253" s="70"/>
      <c r="F253" s="70"/>
      <c r="G253" s="70"/>
      <c r="H253" s="70"/>
      <c r="I253" s="70"/>
      <c r="J253" s="70"/>
      <c r="K253" s="67">
        <f>K254</f>
        <v>4343696</v>
      </c>
      <c r="L253" s="67">
        <f>L254</f>
        <v>3001258.14</v>
      </c>
      <c r="M253" s="67">
        <f t="shared" si="24"/>
        <v>1342437.8599999999</v>
      </c>
    </row>
    <row r="254" spans="1:14" ht="22.5">
      <c r="A254" s="68" t="s">
        <v>266</v>
      </c>
      <c r="B254" s="65"/>
      <c r="C254" s="70" t="s">
        <v>367</v>
      </c>
      <c r="D254" s="70"/>
      <c r="E254" s="70"/>
      <c r="F254" s="70"/>
      <c r="G254" s="70"/>
      <c r="H254" s="70"/>
      <c r="I254" s="70"/>
      <c r="J254" s="70"/>
      <c r="K254" s="71">
        <f>K255+K260</f>
        <v>4343696</v>
      </c>
      <c r="L254" s="71">
        <f>L255+L260</f>
        <v>3001258.14</v>
      </c>
      <c r="M254" s="71">
        <f t="shared" si="24"/>
        <v>1342437.8599999999</v>
      </c>
      <c r="N254" s="57"/>
    </row>
    <row r="255" spans="1:14" ht="12.75">
      <c r="A255" s="68" t="s">
        <v>77</v>
      </c>
      <c r="B255" s="65"/>
      <c r="C255" s="70" t="s">
        <v>118</v>
      </c>
      <c r="D255" s="70"/>
      <c r="E255" s="70"/>
      <c r="F255" s="70"/>
      <c r="G255" s="70"/>
      <c r="H255" s="70"/>
      <c r="I255" s="70"/>
      <c r="J255" s="70"/>
      <c r="K255" s="71">
        <f>SUM(K256)</f>
        <v>4312296</v>
      </c>
      <c r="L255" s="71">
        <f>SUM(L256)</f>
        <v>2970036.14</v>
      </c>
      <c r="M255" s="71">
        <f t="shared" si="24"/>
        <v>1342259.8599999999</v>
      </c>
      <c r="N255" s="57"/>
    </row>
    <row r="256" spans="1:14" ht="12.75">
      <c r="A256" s="68" t="s">
        <v>81</v>
      </c>
      <c r="B256" s="65"/>
      <c r="C256" s="70" t="s">
        <v>119</v>
      </c>
      <c r="D256" s="70"/>
      <c r="E256" s="70"/>
      <c r="F256" s="70"/>
      <c r="G256" s="70"/>
      <c r="H256" s="70"/>
      <c r="I256" s="70"/>
      <c r="J256" s="70"/>
      <c r="K256" s="71">
        <f>SUM(K257:K259)</f>
        <v>4312296</v>
      </c>
      <c r="L256" s="71">
        <f>SUM(L257:L259)</f>
        <v>2970036.14</v>
      </c>
      <c r="M256" s="71">
        <f t="shared" si="24"/>
        <v>1342259.8599999999</v>
      </c>
      <c r="N256" s="57"/>
    </row>
    <row r="257" spans="1:13" ht="12.75">
      <c r="A257" s="68" t="s">
        <v>171</v>
      </c>
      <c r="B257" s="65"/>
      <c r="C257" s="70" t="s">
        <v>58</v>
      </c>
      <c r="D257" s="70"/>
      <c r="E257" s="70"/>
      <c r="F257" s="70"/>
      <c r="G257" s="70"/>
      <c r="H257" s="70"/>
      <c r="I257" s="70"/>
      <c r="J257" s="70"/>
      <c r="K257" s="71">
        <v>3895400</v>
      </c>
      <c r="L257" s="71">
        <f>1707883.03+268871.56+670321.55</f>
        <v>2647076.14</v>
      </c>
      <c r="M257" s="71">
        <f t="shared" si="24"/>
        <v>1248323.8599999999</v>
      </c>
    </row>
    <row r="258" spans="1:13" ht="12.75">
      <c r="A258" s="68" t="s">
        <v>184</v>
      </c>
      <c r="B258" s="65"/>
      <c r="C258" s="70" t="s">
        <v>59</v>
      </c>
      <c r="D258" s="70"/>
      <c r="E258" s="70"/>
      <c r="F258" s="70"/>
      <c r="G258" s="70"/>
      <c r="H258" s="70"/>
      <c r="I258" s="70"/>
      <c r="J258" s="70"/>
      <c r="K258" s="71">
        <v>403896</v>
      </c>
      <c r="L258" s="71">
        <f>225000+28320+56640</f>
        <v>309960</v>
      </c>
      <c r="M258" s="71">
        <f t="shared" si="24"/>
        <v>93936</v>
      </c>
    </row>
    <row r="259" spans="1:13" ht="12.75">
      <c r="A259" s="68" t="s">
        <v>172</v>
      </c>
      <c r="B259" s="65"/>
      <c r="C259" s="70" t="s">
        <v>60</v>
      </c>
      <c r="D259" s="70"/>
      <c r="E259" s="70"/>
      <c r="F259" s="70"/>
      <c r="G259" s="70"/>
      <c r="H259" s="70"/>
      <c r="I259" s="70"/>
      <c r="J259" s="70"/>
      <c r="K259" s="71">
        <v>13000</v>
      </c>
      <c r="L259" s="71">
        <f>13000</f>
        <v>13000</v>
      </c>
      <c r="M259" s="71">
        <f t="shared" si="24"/>
        <v>0</v>
      </c>
    </row>
    <row r="260" spans="1:13" ht="12.75">
      <c r="A260" s="68" t="s">
        <v>83</v>
      </c>
      <c r="B260" s="65"/>
      <c r="C260" s="70" t="s">
        <v>457</v>
      </c>
      <c r="D260" s="70"/>
      <c r="E260" s="70"/>
      <c r="F260" s="70"/>
      <c r="G260" s="70"/>
      <c r="H260" s="70"/>
      <c r="I260" s="70"/>
      <c r="J260" s="70"/>
      <c r="K260" s="71">
        <f>K261+K262</f>
        <v>31400</v>
      </c>
      <c r="L260" s="71">
        <f>L261+L262</f>
        <v>31222</v>
      </c>
      <c r="M260" s="71">
        <f t="shared" si="24"/>
        <v>178</v>
      </c>
    </row>
    <row r="261" spans="1:13" ht="12.75">
      <c r="A261" s="68" t="s">
        <v>173</v>
      </c>
      <c r="B261" s="65"/>
      <c r="C261" s="70" t="s">
        <v>459</v>
      </c>
      <c r="D261" s="70"/>
      <c r="E261" s="70"/>
      <c r="F261" s="70"/>
      <c r="G261" s="70"/>
      <c r="H261" s="70"/>
      <c r="I261" s="70"/>
      <c r="J261" s="70"/>
      <c r="K261" s="71">
        <v>0</v>
      </c>
      <c r="L261" s="71">
        <v>0</v>
      </c>
      <c r="M261" s="71">
        <f t="shared" si="24"/>
        <v>0</v>
      </c>
    </row>
    <row r="262" spans="1:13" ht="12.75">
      <c r="A262" s="68" t="s">
        <v>174</v>
      </c>
      <c r="B262" s="65"/>
      <c r="C262" s="70" t="s">
        <v>458</v>
      </c>
      <c r="D262" s="70"/>
      <c r="E262" s="70"/>
      <c r="F262" s="70"/>
      <c r="G262" s="70"/>
      <c r="H262" s="70"/>
      <c r="I262" s="70"/>
      <c r="J262" s="70"/>
      <c r="K262" s="71">
        <v>31400</v>
      </c>
      <c r="L262" s="71">
        <f>10720+2042+18460</f>
        <v>31222</v>
      </c>
      <c r="M262" s="71">
        <f t="shared" si="24"/>
        <v>178</v>
      </c>
    </row>
    <row r="263" spans="1:13" ht="31.5">
      <c r="A263" s="64" t="s">
        <v>532</v>
      </c>
      <c r="B263" s="65"/>
      <c r="C263" s="66" t="s">
        <v>531</v>
      </c>
      <c r="D263" s="66"/>
      <c r="E263" s="66"/>
      <c r="F263" s="66"/>
      <c r="G263" s="66"/>
      <c r="H263" s="66"/>
      <c r="I263" s="66"/>
      <c r="J263" s="66"/>
      <c r="K263" s="67">
        <f aca="true" t="shared" si="26" ref="K263:L266">K264</f>
        <v>988000</v>
      </c>
      <c r="L263" s="67">
        <f t="shared" si="26"/>
        <v>987914.6799999999</v>
      </c>
      <c r="M263" s="71">
        <f t="shared" si="24"/>
        <v>85.32000000006519</v>
      </c>
    </row>
    <row r="264" spans="1:13" ht="22.5">
      <c r="A264" s="68" t="s">
        <v>266</v>
      </c>
      <c r="B264" s="65"/>
      <c r="C264" s="70" t="s">
        <v>533</v>
      </c>
      <c r="D264" s="70"/>
      <c r="E264" s="70"/>
      <c r="F264" s="70"/>
      <c r="G264" s="70"/>
      <c r="H264" s="70"/>
      <c r="I264" s="70"/>
      <c r="J264" s="70"/>
      <c r="K264" s="71">
        <f t="shared" si="26"/>
        <v>988000</v>
      </c>
      <c r="L264" s="71">
        <f t="shared" si="26"/>
        <v>987914.6799999999</v>
      </c>
      <c r="M264" s="71">
        <f t="shared" si="24"/>
        <v>85.32000000006519</v>
      </c>
    </row>
    <row r="265" spans="1:13" ht="12.75">
      <c r="A265" s="68" t="s">
        <v>77</v>
      </c>
      <c r="B265" s="65"/>
      <c r="C265" s="70" t="s">
        <v>534</v>
      </c>
      <c r="D265" s="70"/>
      <c r="E265" s="70"/>
      <c r="F265" s="70"/>
      <c r="G265" s="70"/>
      <c r="H265" s="70"/>
      <c r="I265" s="70"/>
      <c r="J265" s="70"/>
      <c r="K265" s="71">
        <f t="shared" si="26"/>
        <v>988000</v>
      </c>
      <c r="L265" s="71">
        <f t="shared" si="26"/>
        <v>987914.6799999999</v>
      </c>
      <c r="M265" s="71">
        <f t="shared" si="24"/>
        <v>85.32000000006519</v>
      </c>
    </row>
    <row r="266" spans="1:13" ht="12.75">
      <c r="A266" s="68" t="s">
        <v>81</v>
      </c>
      <c r="B266" s="65"/>
      <c r="C266" s="70" t="s">
        <v>535</v>
      </c>
      <c r="D266" s="70"/>
      <c r="E266" s="70"/>
      <c r="F266" s="70"/>
      <c r="G266" s="70"/>
      <c r="H266" s="70"/>
      <c r="I266" s="70"/>
      <c r="J266" s="70"/>
      <c r="K266" s="71">
        <f t="shared" si="26"/>
        <v>988000</v>
      </c>
      <c r="L266" s="71">
        <f t="shared" si="26"/>
        <v>987914.6799999999</v>
      </c>
      <c r="M266" s="71">
        <f t="shared" si="24"/>
        <v>85.32000000006519</v>
      </c>
    </row>
    <row r="267" spans="1:13" ht="12.75">
      <c r="A267" s="68" t="s">
        <v>184</v>
      </c>
      <c r="B267" s="65"/>
      <c r="C267" s="70" t="s">
        <v>536</v>
      </c>
      <c r="D267" s="70"/>
      <c r="E267" s="70"/>
      <c r="F267" s="70"/>
      <c r="G267" s="70"/>
      <c r="H267" s="70"/>
      <c r="I267" s="70"/>
      <c r="J267" s="70"/>
      <c r="K267" s="71">
        <v>988000</v>
      </c>
      <c r="L267" s="71">
        <f>777744.38+74367.95+135802.35</f>
        <v>987914.6799999999</v>
      </c>
      <c r="M267" s="71">
        <f t="shared" si="24"/>
        <v>85.32000000006519</v>
      </c>
    </row>
    <row r="268" spans="1:13" ht="12.75">
      <c r="A268" s="64" t="s">
        <v>368</v>
      </c>
      <c r="B268" s="65"/>
      <c r="C268" s="66" t="s">
        <v>369</v>
      </c>
      <c r="D268" s="66"/>
      <c r="E268" s="66"/>
      <c r="F268" s="66"/>
      <c r="G268" s="66"/>
      <c r="H268" s="66"/>
      <c r="I268" s="66"/>
      <c r="J268" s="66"/>
      <c r="K268" s="67">
        <f>+K269</f>
        <v>1219800</v>
      </c>
      <c r="L268" s="67">
        <f>L269</f>
        <v>1209790.64</v>
      </c>
      <c r="M268" s="67">
        <f t="shared" si="24"/>
        <v>10009.360000000102</v>
      </c>
    </row>
    <row r="269" spans="1:14" ht="22.5">
      <c r="A269" s="68" t="s">
        <v>266</v>
      </c>
      <c r="B269" s="72"/>
      <c r="C269" s="70" t="s">
        <v>370</v>
      </c>
      <c r="D269" s="70"/>
      <c r="E269" s="70"/>
      <c r="F269" s="70"/>
      <c r="G269" s="70"/>
      <c r="H269" s="70"/>
      <c r="I269" s="70"/>
      <c r="J269" s="70"/>
      <c r="K269" s="71">
        <f>SUM(K270+K274)</f>
        <v>1219800</v>
      </c>
      <c r="L269" s="71">
        <f>SUM(L270+L274)</f>
        <v>1209790.64</v>
      </c>
      <c r="M269" s="71">
        <f t="shared" si="24"/>
        <v>10009.360000000102</v>
      </c>
      <c r="N269" s="57"/>
    </row>
    <row r="270" spans="1:14" ht="12.75">
      <c r="A270" s="68" t="s">
        <v>77</v>
      </c>
      <c r="B270" s="72"/>
      <c r="C270" s="70" t="s">
        <v>120</v>
      </c>
      <c r="D270" s="70"/>
      <c r="E270" s="70"/>
      <c r="F270" s="70"/>
      <c r="G270" s="70"/>
      <c r="H270" s="70"/>
      <c r="I270" s="70"/>
      <c r="J270" s="70"/>
      <c r="K270" s="71">
        <f>SUM(K271)</f>
        <v>1219800</v>
      </c>
      <c r="L270" s="71">
        <f>SUM(L271)</f>
        <v>1209790.64</v>
      </c>
      <c r="M270" s="71">
        <f t="shared" si="24"/>
        <v>10009.360000000102</v>
      </c>
      <c r="N270" s="57"/>
    </row>
    <row r="271" spans="1:14" ht="12.75">
      <c r="A271" s="68" t="s">
        <v>81</v>
      </c>
      <c r="B271" s="72"/>
      <c r="C271" s="70" t="s">
        <v>121</v>
      </c>
      <c r="D271" s="70"/>
      <c r="E271" s="70"/>
      <c r="F271" s="70"/>
      <c r="G271" s="70"/>
      <c r="H271" s="70"/>
      <c r="I271" s="70"/>
      <c r="J271" s="70"/>
      <c r="K271" s="71">
        <f>SUM(K272)</f>
        <v>1219800</v>
      </c>
      <c r="L271" s="71">
        <f>SUM(L272)</f>
        <v>1209790.64</v>
      </c>
      <c r="M271" s="71">
        <f t="shared" si="24"/>
        <v>10009.360000000102</v>
      </c>
      <c r="N271" s="57"/>
    </row>
    <row r="272" spans="1:14" ht="12.75">
      <c r="A272" s="68" t="s">
        <v>184</v>
      </c>
      <c r="B272" s="72"/>
      <c r="C272" s="70" t="s">
        <v>61</v>
      </c>
      <c r="D272" s="70"/>
      <c r="E272" s="70"/>
      <c r="F272" s="70"/>
      <c r="G272" s="70"/>
      <c r="H272" s="70"/>
      <c r="I272" s="70"/>
      <c r="J272" s="70"/>
      <c r="K272" s="71">
        <v>1219800</v>
      </c>
      <c r="L272" s="71">
        <v>1209790.64</v>
      </c>
      <c r="M272" s="71">
        <f t="shared" si="24"/>
        <v>10009.360000000102</v>
      </c>
      <c r="N272" s="57"/>
    </row>
    <row r="273" spans="1:14" ht="12.75">
      <c r="A273" s="68" t="s">
        <v>83</v>
      </c>
      <c r="B273" s="72"/>
      <c r="C273" s="70" t="s">
        <v>122</v>
      </c>
      <c r="D273" s="70"/>
      <c r="E273" s="70"/>
      <c r="F273" s="70"/>
      <c r="G273" s="70"/>
      <c r="H273" s="70"/>
      <c r="I273" s="70"/>
      <c r="J273" s="70"/>
      <c r="K273" s="71">
        <f>SUM(K274)</f>
        <v>0</v>
      </c>
      <c r="L273" s="71">
        <f>SUM(L274)</f>
        <v>0</v>
      </c>
      <c r="M273" s="71">
        <f t="shared" si="24"/>
        <v>0</v>
      </c>
      <c r="N273" s="57"/>
    </row>
    <row r="274" spans="1:13" ht="12.75">
      <c r="A274" s="68" t="s">
        <v>174</v>
      </c>
      <c r="B274" s="72"/>
      <c r="C274" s="70" t="s">
        <v>62</v>
      </c>
      <c r="D274" s="70"/>
      <c r="E274" s="70"/>
      <c r="F274" s="70"/>
      <c r="G274" s="70"/>
      <c r="H274" s="70"/>
      <c r="I274" s="70"/>
      <c r="J274" s="70"/>
      <c r="K274" s="71">
        <v>0</v>
      </c>
      <c r="L274" s="71">
        <v>0</v>
      </c>
      <c r="M274" s="71">
        <f t="shared" si="24"/>
        <v>0</v>
      </c>
    </row>
    <row r="275" spans="1:13" ht="12.75">
      <c r="A275" s="64" t="s">
        <v>371</v>
      </c>
      <c r="B275" s="65"/>
      <c r="C275" s="66" t="s">
        <v>372</v>
      </c>
      <c r="D275" s="66"/>
      <c r="E275" s="66"/>
      <c r="F275" s="66"/>
      <c r="G275" s="66"/>
      <c r="H275" s="66"/>
      <c r="I275" s="66"/>
      <c r="J275" s="66"/>
      <c r="K275" s="67">
        <f>SUM(K276)</f>
        <v>33000</v>
      </c>
      <c r="L275" s="67">
        <f>L276</f>
        <v>32929.91</v>
      </c>
      <c r="M275" s="67">
        <f t="shared" si="24"/>
        <v>70.08999999999651</v>
      </c>
    </row>
    <row r="276" spans="1:14" ht="22.5">
      <c r="A276" s="68" t="s">
        <v>266</v>
      </c>
      <c r="B276" s="72"/>
      <c r="C276" s="70" t="s">
        <v>373</v>
      </c>
      <c r="D276" s="70"/>
      <c r="E276" s="70"/>
      <c r="F276" s="70"/>
      <c r="G276" s="70"/>
      <c r="H276" s="70"/>
      <c r="I276" s="70"/>
      <c r="J276" s="70"/>
      <c r="K276" s="71">
        <f>K277+K280</f>
        <v>33000</v>
      </c>
      <c r="L276" s="71">
        <f>L277+L280</f>
        <v>32929.91</v>
      </c>
      <c r="M276" s="71">
        <f t="shared" si="24"/>
        <v>70.08999999999651</v>
      </c>
      <c r="N276" s="57"/>
    </row>
    <row r="277" spans="1:14" ht="12.75">
      <c r="A277" s="68" t="s">
        <v>77</v>
      </c>
      <c r="B277" s="72"/>
      <c r="C277" s="70" t="s">
        <v>126</v>
      </c>
      <c r="D277" s="70"/>
      <c r="E277" s="70"/>
      <c r="F277" s="70"/>
      <c r="G277" s="70"/>
      <c r="H277" s="70"/>
      <c r="I277" s="70"/>
      <c r="J277" s="70"/>
      <c r="K277" s="71">
        <f>SUM(K278)</f>
        <v>26700</v>
      </c>
      <c r="L277" s="71">
        <f>SUM(L278)</f>
        <v>26669.91</v>
      </c>
      <c r="M277" s="71">
        <f t="shared" si="24"/>
        <v>30.090000000000146</v>
      </c>
      <c r="N277" s="57"/>
    </row>
    <row r="278" spans="1:14" ht="12.75">
      <c r="A278" s="68" t="s">
        <v>81</v>
      </c>
      <c r="B278" s="72"/>
      <c r="C278" s="70" t="s">
        <v>127</v>
      </c>
      <c r="D278" s="70"/>
      <c r="E278" s="70"/>
      <c r="F278" s="70"/>
      <c r="G278" s="70"/>
      <c r="H278" s="70"/>
      <c r="I278" s="70"/>
      <c r="J278" s="70"/>
      <c r="K278" s="71">
        <f>SUM(K279)</f>
        <v>26700</v>
      </c>
      <c r="L278" s="71">
        <f>SUM(L279)</f>
        <v>26669.91</v>
      </c>
      <c r="M278" s="71">
        <f t="shared" si="24"/>
        <v>30.090000000000146</v>
      </c>
      <c r="N278" s="57"/>
    </row>
    <row r="279" spans="1:13" ht="12.75">
      <c r="A279" s="68" t="s">
        <v>184</v>
      </c>
      <c r="B279" s="72"/>
      <c r="C279" s="70" t="s">
        <v>63</v>
      </c>
      <c r="D279" s="70"/>
      <c r="E279" s="70"/>
      <c r="F279" s="70"/>
      <c r="G279" s="70"/>
      <c r="H279" s="70"/>
      <c r="I279" s="70"/>
      <c r="J279" s="70"/>
      <c r="K279" s="71">
        <v>26700</v>
      </c>
      <c r="L279" s="71">
        <f>19707.89+2463.48+4498.54</f>
        <v>26669.91</v>
      </c>
      <c r="M279" s="71">
        <f t="shared" si="24"/>
        <v>30.090000000000146</v>
      </c>
    </row>
    <row r="280" spans="1:13" ht="12.75">
      <c r="A280" s="68" t="s">
        <v>83</v>
      </c>
      <c r="B280" s="72"/>
      <c r="C280" s="70" t="s">
        <v>641</v>
      </c>
      <c r="D280" s="70"/>
      <c r="E280" s="70"/>
      <c r="F280" s="70"/>
      <c r="G280" s="70"/>
      <c r="H280" s="70"/>
      <c r="I280" s="70"/>
      <c r="J280" s="70"/>
      <c r="K280" s="71">
        <f>K281</f>
        <v>6300</v>
      </c>
      <c r="L280" s="71">
        <f>L281</f>
        <v>6260</v>
      </c>
      <c r="M280" s="71">
        <f t="shared" si="24"/>
        <v>40</v>
      </c>
    </row>
    <row r="281" spans="1:13" ht="12.75">
      <c r="A281" s="68" t="s">
        <v>174</v>
      </c>
      <c r="B281" s="72"/>
      <c r="C281" s="70" t="s">
        <v>642</v>
      </c>
      <c r="D281" s="70"/>
      <c r="E281" s="70"/>
      <c r="F281" s="70"/>
      <c r="G281" s="70"/>
      <c r="H281" s="70"/>
      <c r="I281" s="70"/>
      <c r="J281" s="70"/>
      <c r="K281" s="71">
        <v>6300</v>
      </c>
      <c r="L281" s="71">
        <f>6260</f>
        <v>6260</v>
      </c>
      <c r="M281" s="71">
        <f t="shared" si="24"/>
        <v>40</v>
      </c>
    </row>
    <row r="282" spans="1:17" ht="21">
      <c r="A282" s="64" t="s">
        <v>374</v>
      </c>
      <c r="B282" s="65"/>
      <c r="C282" s="66" t="s">
        <v>375</v>
      </c>
      <c r="D282" s="66"/>
      <c r="E282" s="66"/>
      <c r="F282" s="66"/>
      <c r="G282" s="66"/>
      <c r="H282" s="66"/>
      <c r="I282" s="66"/>
      <c r="J282" s="66"/>
      <c r="K282" s="67">
        <f>K283</f>
        <v>1040534</v>
      </c>
      <c r="L282" s="67">
        <f>L283</f>
        <v>1030579.25</v>
      </c>
      <c r="M282" s="67">
        <f t="shared" si="24"/>
        <v>9954.75</v>
      </c>
      <c r="O282">
        <v>1034000</v>
      </c>
      <c r="Q282" s="57">
        <f>K282-O282</f>
        <v>6534</v>
      </c>
    </row>
    <row r="283" spans="1:15" ht="22.5">
      <c r="A283" s="68" t="s">
        <v>266</v>
      </c>
      <c r="B283" s="65"/>
      <c r="C283" s="70" t="s">
        <v>376</v>
      </c>
      <c r="D283" s="70"/>
      <c r="E283" s="70"/>
      <c r="F283" s="70"/>
      <c r="G283" s="70"/>
      <c r="H283" s="70"/>
      <c r="I283" s="70"/>
      <c r="J283" s="70"/>
      <c r="K283" s="71">
        <f>SUM(K284+K288)</f>
        <v>1040534</v>
      </c>
      <c r="L283" s="71">
        <f>SUM(L284+L288)</f>
        <v>1030579.25</v>
      </c>
      <c r="M283" s="71">
        <f t="shared" si="24"/>
        <v>9954.75</v>
      </c>
      <c r="N283" s="57"/>
      <c r="O283" s="57"/>
    </row>
    <row r="284" spans="1:15" ht="12.75">
      <c r="A284" s="68" t="s">
        <v>77</v>
      </c>
      <c r="B284" s="65"/>
      <c r="C284" s="70" t="s">
        <v>124</v>
      </c>
      <c r="D284" s="70"/>
      <c r="E284" s="70"/>
      <c r="F284" s="70"/>
      <c r="G284" s="70"/>
      <c r="H284" s="70"/>
      <c r="I284" s="70"/>
      <c r="J284" s="70"/>
      <c r="K284" s="71">
        <f>SUM(K285)</f>
        <v>940100</v>
      </c>
      <c r="L284" s="71">
        <f>SUM(L285)</f>
        <v>930377.65</v>
      </c>
      <c r="M284" s="71">
        <f t="shared" si="24"/>
        <v>9722.349999999977</v>
      </c>
      <c r="N284" s="57"/>
      <c r="O284" s="57"/>
    </row>
    <row r="285" spans="1:15" ht="12.75">
      <c r="A285" s="68" t="s">
        <v>81</v>
      </c>
      <c r="B285" s="65"/>
      <c r="C285" s="70" t="s">
        <v>125</v>
      </c>
      <c r="D285" s="70"/>
      <c r="E285" s="70"/>
      <c r="F285" s="70"/>
      <c r="G285" s="70"/>
      <c r="H285" s="70"/>
      <c r="I285" s="70"/>
      <c r="J285" s="70"/>
      <c r="K285" s="71">
        <f>SUM(K286:K287)</f>
        <v>940100</v>
      </c>
      <c r="L285" s="71">
        <f>SUM(L286:L287)</f>
        <v>930377.65</v>
      </c>
      <c r="M285" s="71">
        <f t="shared" si="24"/>
        <v>9722.349999999977</v>
      </c>
      <c r="N285" s="57"/>
      <c r="O285" s="57"/>
    </row>
    <row r="286" spans="1:13" ht="12.75">
      <c r="A286" s="68" t="s">
        <v>184</v>
      </c>
      <c r="B286" s="65"/>
      <c r="C286" s="70" t="s">
        <v>64</v>
      </c>
      <c r="D286" s="70"/>
      <c r="E286" s="70"/>
      <c r="F286" s="70"/>
      <c r="G286" s="70"/>
      <c r="H286" s="70"/>
      <c r="I286" s="70"/>
      <c r="J286" s="70"/>
      <c r="K286" s="71">
        <f>524800+320000</f>
        <v>844800</v>
      </c>
      <c r="L286" s="71">
        <f>452591.61+339640.6+42909.68</f>
        <v>835141.89</v>
      </c>
      <c r="M286" s="71">
        <f t="shared" si="24"/>
        <v>9658.109999999986</v>
      </c>
    </row>
    <row r="287" spans="1:13" ht="12.75">
      <c r="A287" s="68" t="s">
        <v>172</v>
      </c>
      <c r="B287" s="65"/>
      <c r="C287" s="70" t="s">
        <v>65</v>
      </c>
      <c r="D287" s="70"/>
      <c r="E287" s="70"/>
      <c r="F287" s="70"/>
      <c r="G287" s="70"/>
      <c r="H287" s="70"/>
      <c r="I287" s="70"/>
      <c r="J287" s="70"/>
      <c r="K287" s="71">
        <v>95300</v>
      </c>
      <c r="L287" s="71">
        <f>58905+12455.79+23874.97</f>
        <v>95235.76000000001</v>
      </c>
      <c r="M287" s="71">
        <f t="shared" si="24"/>
        <v>64.23999999999069</v>
      </c>
    </row>
    <row r="288" spans="1:17" ht="12.75">
      <c r="A288" s="68" t="s">
        <v>83</v>
      </c>
      <c r="B288" s="65"/>
      <c r="C288" s="70" t="s">
        <v>123</v>
      </c>
      <c r="D288" s="70"/>
      <c r="E288" s="70"/>
      <c r="F288" s="70"/>
      <c r="G288" s="70"/>
      <c r="H288" s="70"/>
      <c r="I288" s="70"/>
      <c r="J288" s="70"/>
      <c r="K288" s="71">
        <f>SUM(K289:K290)</f>
        <v>100434</v>
      </c>
      <c r="L288" s="71">
        <f>L289+L290</f>
        <v>100201.6</v>
      </c>
      <c r="M288" s="71">
        <f t="shared" si="24"/>
        <v>232.39999999999418</v>
      </c>
      <c r="O288">
        <v>157000</v>
      </c>
      <c r="Q288" s="57">
        <f>K288-O288</f>
        <v>-56566</v>
      </c>
    </row>
    <row r="289" spans="1:13" ht="12.75">
      <c r="A289" s="68" t="s">
        <v>173</v>
      </c>
      <c r="B289" s="65"/>
      <c r="C289" s="70" t="s">
        <v>74</v>
      </c>
      <c r="D289" s="70"/>
      <c r="E289" s="70"/>
      <c r="F289" s="70"/>
      <c r="G289" s="70"/>
      <c r="H289" s="70"/>
      <c r="I289" s="70"/>
      <c r="J289" s="70"/>
      <c r="K289" s="71">
        <v>60000</v>
      </c>
      <c r="L289" s="71">
        <v>60000</v>
      </c>
      <c r="M289" s="71">
        <f t="shared" si="24"/>
        <v>0</v>
      </c>
    </row>
    <row r="290" spans="1:17" ht="12.75">
      <c r="A290" s="68" t="s">
        <v>174</v>
      </c>
      <c r="B290" s="65"/>
      <c r="C290" s="70" t="s">
        <v>71</v>
      </c>
      <c r="D290" s="70"/>
      <c r="E290" s="70"/>
      <c r="F290" s="70"/>
      <c r="G290" s="70"/>
      <c r="H290" s="70"/>
      <c r="I290" s="70"/>
      <c r="J290" s="70"/>
      <c r="K290" s="71">
        <v>40434</v>
      </c>
      <c r="L290" s="71">
        <f>26846.6+6505+6850</f>
        <v>40201.6</v>
      </c>
      <c r="M290" s="71">
        <f t="shared" si="24"/>
        <v>232.40000000000146</v>
      </c>
      <c r="O290">
        <v>27000</v>
      </c>
      <c r="Q290" s="57">
        <f>K290-O290</f>
        <v>13434</v>
      </c>
    </row>
    <row r="291" spans="1:13" ht="12.75">
      <c r="A291" s="36" t="s">
        <v>402</v>
      </c>
      <c r="B291" s="46"/>
      <c r="C291" s="38" t="s">
        <v>486</v>
      </c>
      <c r="D291" s="38"/>
      <c r="E291" s="38"/>
      <c r="F291" s="38"/>
      <c r="G291" s="38"/>
      <c r="H291" s="38"/>
      <c r="I291" s="38"/>
      <c r="J291" s="38"/>
      <c r="K291" s="52">
        <f>K292</f>
        <v>476800</v>
      </c>
      <c r="L291" s="52">
        <f>L292</f>
        <v>476800</v>
      </c>
      <c r="M291" s="52">
        <f t="shared" si="24"/>
        <v>0</v>
      </c>
    </row>
    <row r="292" spans="1:13" ht="21">
      <c r="A292" s="36" t="s">
        <v>403</v>
      </c>
      <c r="B292" s="46"/>
      <c r="C292" s="38" t="s">
        <v>487</v>
      </c>
      <c r="D292" s="38"/>
      <c r="E292" s="38"/>
      <c r="F292" s="38"/>
      <c r="G292" s="38"/>
      <c r="H292" s="38"/>
      <c r="I292" s="38"/>
      <c r="J292" s="38"/>
      <c r="K292" s="52">
        <f>K293</f>
        <v>476800</v>
      </c>
      <c r="L292" s="52">
        <f>L293</f>
        <v>476800</v>
      </c>
      <c r="M292" s="52">
        <f t="shared" si="24"/>
        <v>0</v>
      </c>
    </row>
    <row r="293" spans="1:13" ht="21">
      <c r="A293" s="36" t="s">
        <v>404</v>
      </c>
      <c r="B293" s="46"/>
      <c r="C293" s="38" t="s">
        <v>488</v>
      </c>
      <c r="D293" s="38"/>
      <c r="E293" s="38"/>
      <c r="F293" s="38"/>
      <c r="G293" s="38"/>
      <c r="H293" s="38"/>
      <c r="I293" s="38"/>
      <c r="J293" s="38"/>
      <c r="K293" s="52">
        <f>SUM(K294)</f>
        <v>476800</v>
      </c>
      <c r="L293" s="52">
        <f>SUM(L294)</f>
        <v>476800</v>
      </c>
      <c r="M293" s="52">
        <f t="shared" si="24"/>
        <v>0</v>
      </c>
    </row>
    <row r="294" spans="1:13" ht="12.75">
      <c r="A294" s="64" t="s">
        <v>41</v>
      </c>
      <c r="B294" s="76"/>
      <c r="C294" s="66" t="s">
        <v>489</v>
      </c>
      <c r="D294" s="66"/>
      <c r="E294" s="66"/>
      <c r="F294" s="66"/>
      <c r="G294" s="66"/>
      <c r="H294" s="66"/>
      <c r="I294" s="66"/>
      <c r="J294" s="66"/>
      <c r="K294" s="67">
        <f>SUM(K295)</f>
        <v>476800</v>
      </c>
      <c r="L294" s="67">
        <f>L295</f>
        <v>476800</v>
      </c>
      <c r="M294" s="67">
        <f t="shared" si="24"/>
        <v>0</v>
      </c>
    </row>
    <row r="295" spans="1:15" ht="12.75">
      <c r="A295" s="39" t="s">
        <v>485</v>
      </c>
      <c r="B295" s="76"/>
      <c r="C295" s="70" t="s">
        <v>490</v>
      </c>
      <c r="D295" s="70"/>
      <c r="E295" s="70"/>
      <c r="F295" s="70"/>
      <c r="G295" s="70"/>
      <c r="H295" s="70"/>
      <c r="I295" s="70"/>
      <c r="J295" s="70"/>
      <c r="K295" s="71">
        <f>K296</f>
        <v>476800</v>
      </c>
      <c r="L295" s="71">
        <f>L296</f>
        <v>476800</v>
      </c>
      <c r="M295" s="71">
        <f t="shared" si="24"/>
        <v>0</v>
      </c>
      <c r="N295" s="57"/>
      <c r="O295" s="57"/>
    </row>
    <row r="296" spans="1:15" ht="12.75">
      <c r="A296" s="68" t="s">
        <v>77</v>
      </c>
      <c r="B296" s="76"/>
      <c r="C296" s="70" t="s">
        <v>491</v>
      </c>
      <c r="D296" s="70"/>
      <c r="E296" s="70"/>
      <c r="F296" s="70"/>
      <c r="G296" s="70"/>
      <c r="H296" s="70"/>
      <c r="I296" s="70"/>
      <c r="J296" s="70"/>
      <c r="K296" s="71">
        <f>SUM(K297)</f>
        <v>476800</v>
      </c>
      <c r="L296" s="71">
        <f>SUM(L297)</f>
        <v>476800</v>
      </c>
      <c r="M296" s="71">
        <f t="shared" si="24"/>
        <v>0</v>
      </c>
      <c r="N296" s="57"/>
      <c r="O296" s="57"/>
    </row>
    <row r="297" spans="1:15" ht="12.75">
      <c r="A297" s="68" t="s">
        <v>103</v>
      </c>
      <c r="B297" s="76"/>
      <c r="C297" s="70" t="s">
        <v>492</v>
      </c>
      <c r="D297" s="70"/>
      <c r="E297" s="70"/>
      <c r="F297" s="70"/>
      <c r="G297" s="70"/>
      <c r="H297" s="70"/>
      <c r="I297" s="70"/>
      <c r="J297" s="70"/>
      <c r="K297" s="71">
        <f>K298</f>
        <v>476800</v>
      </c>
      <c r="L297" s="71">
        <f>L298</f>
        <v>476800</v>
      </c>
      <c r="M297" s="71">
        <f t="shared" si="24"/>
        <v>0</v>
      </c>
      <c r="N297" s="57"/>
      <c r="O297" s="57"/>
    </row>
    <row r="298" spans="1:13" ht="35.25" customHeight="1">
      <c r="A298" s="68" t="s">
        <v>484</v>
      </c>
      <c r="B298" s="76"/>
      <c r="C298" s="70" t="s">
        <v>493</v>
      </c>
      <c r="D298" s="70"/>
      <c r="E298" s="70"/>
      <c r="F298" s="70"/>
      <c r="G298" s="70"/>
      <c r="H298" s="70"/>
      <c r="I298" s="70"/>
      <c r="J298" s="70"/>
      <c r="K298" s="71">
        <v>476800</v>
      </c>
      <c r="L298" s="71">
        <v>476800</v>
      </c>
      <c r="M298" s="71">
        <f t="shared" si="24"/>
        <v>0</v>
      </c>
    </row>
    <row r="299" spans="1:13" ht="12.75">
      <c r="A299" s="36" t="s">
        <v>378</v>
      </c>
      <c r="B299" s="46"/>
      <c r="C299" s="38" t="s">
        <v>379</v>
      </c>
      <c r="D299" s="38"/>
      <c r="E299" s="38"/>
      <c r="F299" s="38"/>
      <c r="G299" s="38"/>
      <c r="H299" s="38"/>
      <c r="I299" s="38"/>
      <c r="J299" s="38"/>
      <c r="K299" s="52">
        <f>K300</f>
        <v>25093504</v>
      </c>
      <c r="L299" s="52">
        <f>L300</f>
        <v>25029147.6</v>
      </c>
      <c r="M299" s="52">
        <f t="shared" si="24"/>
        <v>64356.39999999851</v>
      </c>
    </row>
    <row r="300" spans="1:13" ht="12.75">
      <c r="A300" s="36" t="s">
        <v>185</v>
      </c>
      <c r="B300" s="37"/>
      <c r="C300" s="38" t="s">
        <v>380</v>
      </c>
      <c r="D300" s="38"/>
      <c r="E300" s="38"/>
      <c r="F300" s="38"/>
      <c r="G300" s="38"/>
      <c r="H300" s="38"/>
      <c r="I300" s="38"/>
      <c r="J300" s="38"/>
      <c r="K300" s="52">
        <f>K301+K306+K326+K332+K339+K350</f>
        <v>25093504</v>
      </c>
      <c r="L300" s="52">
        <f>L301+L306+L326+L332+L339+L350</f>
        <v>25029147.6</v>
      </c>
      <c r="M300" s="52">
        <f t="shared" si="24"/>
        <v>64356.39999999851</v>
      </c>
    </row>
    <row r="301" spans="1:13" ht="21">
      <c r="A301" s="138" t="s">
        <v>16</v>
      </c>
      <c r="B301" s="37"/>
      <c r="C301" s="38" t="s">
        <v>17</v>
      </c>
      <c r="D301" s="38"/>
      <c r="E301" s="38"/>
      <c r="F301" s="38"/>
      <c r="G301" s="38"/>
      <c r="H301" s="38"/>
      <c r="I301" s="38"/>
      <c r="J301" s="38"/>
      <c r="K301" s="52">
        <f aca="true" t="shared" si="27" ref="K301:L304">K302</f>
        <v>91700</v>
      </c>
      <c r="L301" s="52">
        <f t="shared" si="27"/>
        <v>91700</v>
      </c>
      <c r="M301" s="52">
        <f t="shared" si="24"/>
        <v>0</v>
      </c>
    </row>
    <row r="302" spans="1:13" ht="22.5">
      <c r="A302" s="139" t="s">
        <v>266</v>
      </c>
      <c r="B302" s="37"/>
      <c r="C302" s="38" t="s">
        <v>18</v>
      </c>
      <c r="D302" s="38"/>
      <c r="E302" s="38"/>
      <c r="F302" s="38"/>
      <c r="G302" s="38"/>
      <c r="H302" s="38"/>
      <c r="I302" s="38"/>
      <c r="J302" s="38"/>
      <c r="K302" s="52">
        <f t="shared" si="27"/>
        <v>91700</v>
      </c>
      <c r="L302" s="52">
        <f t="shared" si="27"/>
        <v>91700</v>
      </c>
      <c r="M302" s="52">
        <f t="shared" si="24"/>
        <v>0</v>
      </c>
    </row>
    <row r="303" spans="1:13" ht="12.75">
      <c r="A303" s="68" t="s">
        <v>77</v>
      </c>
      <c r="B303" s="37"/>
      <c r="C303" s="80" t="s">
        <v>19</v>
      </c>
      <c r="D303" s="38"/>
      <c r="E303" s="38"/>
      <c r="F303" s="38"/>
      <c r="G303" s="38"/>
      <c r="H303" s="38"/>
      <c r="I303" s="38"/>
      <c r="J303" s="38"/>
      <c r="K303" s="81">
        <f t="shared" si="27"/>
        <v>91700</v>
      </c>
      <c r="L303" s="81">
        <f t="shared" si="27"/>
        <v>91700</v>
      </c>
      <c r="M303" s="81">
        <f t="shared" si="24"/>
        <v>0</v>
      </c>
    </row>
    <row r="304" spans="1:13" ht="12.75">
      <c r="A304" s="68" t="s">
        <v>81</v>
      </c>
      <c r="B304" s="37"/>
      <c r="C304" s="80" t="s">
        <v>20</v>
      </c>
      <c r="D304" s="38"/>
      <c r="E304" s="38"/>
      <c r="F304" s="38"/>
      <c r="G304" s="38"/>
      <c r="H304" s="38"/>
      <c r="I304" s="38"/>
      <c r="J304" s="38"/>
      <c r="K304" s="81">
        <f t="shared" si="27"/>
        <v>91700</v>
      </c>
      <c r="L304" s="81">
        <f t="shared" si="27"/>
        <v>91700</v>
      </c>
      <c r="M304" s="81">
        <f t="shared" si="24"/>
        <v>0</v>
      </c>
    </row>
    <row r="305" spans="1:13" ht="12.75">
      <c r="A305" s="68" t="s">
        <v>172</v>
      </c>
      <c r="B305" s="37"/>
      <c r="C305" s="80" t="s">
        <v>21</v>
      </c>
      <c r="D305" s="38"/>
      <c r="E305" s="38"/>
      <c r="F305" s="38"/>
      <c r="G305" s="38"/>
      <c r="H305" s="38"/>
      <c r="I305" s="38"/>
      <c r="J305" s="38"/>
      <c r="K305" s="81">
        <v>91700</v>
      </c>
      <c r="L305" s="81">
        <v>91700</v>
      </c>
      <c r="M305" s="81">
        <f t="shared" si="24"/>
        <v>0</v>
      </c>
    </row>
    <row r="306" spans="1:13" ht="21">
      <c r="A306" s="36" t="s">
        <v>564</v>
      </c>
      <c r="B306" s="37"/>
      <c r="C306" s="38" t="s">
        <v>494</v>
      </c>
      <c r="D306" s="38"/>
      <c r="E306" s="38"/>
      <c r="F306" s="38"/>
      <c r="G306" s="38"/>
      <c r="H306" s="38"/>
      <c r="I306" s="38"/>
      <c r="J306" s="38"/>
      <c r="K306" s="52">
        <f>K307+K315</f>
        <v>19358104</v>
      </c>
      <c r="L306" s="52">
        <f>L307+L315</f>
        <v>19340647.6</v>
      </c>
      <c r="M306" s="52">
        <f aca="true" t="shared" si="28" ref="M306:M321">K306-L306</f>
        <v>17456.39999999851</v>
      </c>
    </row>
    <row r="307" spans="1:13" ht="21">
      <c r="A307" s="36" t="s">
        <v>563</v>
      </c>
      <c r="B307" s="65"/>
      <c r="C307" s="66" t="s">
        <v>527</v>
      </c>
      <c r="D307" s="66"/>
      <c r="E307" s="66"/>
      <c r="F307" s="66"/>
      <c r="G307" s="66"/>
      <c r="H307" s="66"/>
      <c r="I307" s="66"/>
      <c r="J307" s="66"/>
      <c r="K307" s="67">
        <f>K308</f>
        <v>715700</v>
      </c>
      <c r="L307" s="67">
        <f>L308</f>
        <v>715520.5</v>
      </c>
      <c r="M307" s="67">
        <f t="shared" si="28"/>
        <v>179.5</v>
      </c>
    </row>
    <row r="308" spans="1:13" ht="22.5">
      <c r="A308" s="68" t="s">
        <v>266</v>
      </c>
      <c r="B308" s="65"/>
      <c r="C308" s="70" t="s">
        <v>528</v>
      </c>
      <c r="D308" s="70"/>
      <c r="E308" s="70"/>
      <c r="F308" s="70"/>
      <c r="G308" s="70"/>
      <c r="H308" s="70"/>
      <c r="I308" s="70"/>
      <c r="J308" s="70"/>
      <c r="K308" s="71">
        <f>SUM(K309+K313)</f>
        <v>715700</v>
      </c>
      <c r="L308" s="71">
        <f>SUM(L309+L313)</f>
        <v>715520.5</v>
      </c>
      <c r="M308" s="71">
        <f t="shared" si="28"/>
        <v>179.5</v>
      </c>
    </row>
    <row r="309" spans="1:13" ht="12.75">
      <c r="A309" s="68" t="s">
        <v>77</v>
      </c>
      <c r="B309" s="65"/>
      <c r="C309" s="70" t="s">
        <v>565</v>
      </c>
      <c r="D309" s="70"/>
      <c r="E309" s="70"/>
      <c r="F309" s="70"/>
      <c r="G309" s="70"/>
      <c r="H309" s="70"/>
      <c r="I309" s="70"/>
      <c r="J309" s="70"/>
      <c r="K309" s="71">
        <f>SUM(K310+K312)</f>
        <v>310120</v>
      </c>
      <c r="L309" s="71">
        <f>SUM(L310+L312)</f>
        <v>310095</v>
      </c>
      <c r="M309" s="71">
        <f t="shared" si="28"/>
        <v>25</v>
      </c>
    </row>
    <row r="310" spans="1:13" ht="12.75">
      <c r="A310" s="68" t="s">
        <v>81</v>
      </c>
      <c r="B310" s="65"/>
      <c r="C310" s="70" t="s">
        <v>566</v>
      </c>
      <c r="D310" s="70"/>
      <c r="E310" s="70"/>
      <c r="F310" s="70"/>
      <c r="G310" s="70"/>
      <c r="H310" s="70"/>
      <c r="I310" s="70"/>
      <c r="J310" s="70"/>
      <c r="K310" s="71">
        <f>SUM(K311)</f>
        <v>60920</v>
      </c>
      <c r="L310" s="71">
        <f>SUM(L311)</f>
        <v>60900</v>
      </c>
      <c r="M310" s="71">
        <f t="shared" si="28"/>
        <v>20</v>
      </c>
    </row>
    <row r="311" spans="1:13" ht="12.75">
      <c r="A311" s="68" t="s">
        <v>172</v>
      </c>
      <c r="B311" s="65"/>
      <c r="C311" s="70" t="s">
        <v>567</v>
      </c>
      <c r="D311" s="70"/>
      <c r="E311" s="70"/>
      <c r="F311" s="70"/>
      <c r="G311" s="70"/>
      <c r="H311" s="70"/>
      <c r="I311" s="70"/>
      <c r="J311" s="70"/>
      <c r="K311" s="71">
        <v>60920</v>
      </c>
      <c r="L311" s="71">
        <f>52150+8750</f>
        <v>60900</v>
      </c>
      <c r="M311" s="71">
        <f t="shared" si="28"/>
        <v>20</v>
      </c>
    </row>
    <row r="312" spans="1:13" ht="12.75">
      <c r="A312" s="68" t="s">
        <v>167</v>
      </c>
      <c r="B312" s="65"/>
      <c r="C312" s="70" t="s">
        <v>568</v>
      </c>
      <c r="D312" s="70"/>
      <c r="E312" s="70"/>
      <c r="F312" s="70"/>
      <c r="G312" s="70"/>
      <c r="H312" s="70"/>
      <c r="I312" s="70"/>
      <c r="J312" s="70"/>
      <c r="K312" s="71">
        <v>249200</v>
      </c>
      <c r="L312" s="71">
        <f>202245+46950</f>
        <v>249195</v>
      </c>
      <c r="M312" s="71">
        <f t="shared" si="28"/>
        <v>5</v>
      </c>
    </row>
    <row r="313" spans="1:13" ht="12.75">
      <c r="A313" s="68" t="s">
        <v>83</v>
      </c>
      <c r="B313" s="65"/>
      <c r="C313" s="70" t="s">
        <v>529</v>
      </c>
      <c r="D313" s="70"/>
      <c r="E313" s="70"/>
      <c r="F313" s="70"/>
      <c r="G313" s="70"/>
      <c r="H313" s="70"/>
      <c r="I313" s="70"/>
      <c r="J313" s="70"/>
      <c r="K313" s="71">
        <f>SUM(K314)</f>
        <v>405580</v>
      </c>
      <c r="L313" s="71">
        <f>SUM(L314)</f>
        <v>405425.5</v>
      </c>
      <c r="M313" s="71">
        <f t="shared" si="28"/>
        <v>154.5</v>
      </c>
    </row>
    <row r="314" spans="1:13" ht="12.75">
      <c r="A314" s="68" t="s">
        <v>174</v>
      </c>
      <c r="B314" s="65"/>
      <c r="C314" s="70" t="s">
        <v>530</v>
      </c>
      <c r="D314" s="70"/>
      <c r="E314" s="70"/>
      <c r="F314" s="70"/>
      <c r="G314" s="70"/>
      <c r="H314" s="70"/>
      <c r="I314" s="70"/>
      <c r="J314" s="70"/>
      <c r="K314" s="71">
        <f>133980+271600</f>
        <v>405580</v>
      </c>
      <c r="L314" s="71">
        <f>193368+55342.5+42980+113735</f>
        <v>405425.5</v>
      </c>
      <c r="M314" s="71">
        <f t="shared" si="28"/>
        <v>154.5</v>
      </c>
    </row>
    <row r="315" spans="1:13" ht="12.75">
      <c r="A315" s="64" t="s">
        <v>643</v>
      </c>
      <c r="B315" s="65"/>
      <c r="C315" s="66" t="s">
        <v>495</v>
      </c>
      <c r="D315" s="66"/>
      <c r="E315" s="66"/>
      <c r="F315" s="66"/>
      <c r="G315" s="66"/>
      <c r="H315" s="66"/>
      <c r="I315" s="66"/>
      <c r="J315" s="66"/>
      <c r="K315" s="67">
        <f>K316+K322</f>
        <v>18642404</v>
      </c>
      <c r="L315" s="67">
        <f>L316+L322</f>
        <v>18625127.1</v>
      </c>
      <c r="M315" s="67">
        <f t="shared" si="28"/>
        <v>17276.89999999851</v>
      </c>
    </row>
    <row r="316" spans="1:13" ht="22.5">
      <c r="A316" s="68" t="s">
        <v>266</v>
      </c>
      <c r="B316" s="65"/>
      <c r="C316" s="125" t="s">
        <v>644</v>
      </c>
      <c r="D316" s="70"/>
      <c r="E316" s="70"/>
      <c r="F316" s="70"/>
      <c r="G316" s="70"/>
      <c r="H316" s="70"/>
      <c r="I316" s="70"/>
      <c r="J316" s="70"/>
      <c r="K316" s="71">
        <f aca="true" t="shared" si="29" ref="K316:L318">K317</f>
        <v>1944804</v>
      </c>
      <c r="L316" s="71">
        <f t="shared" si="29"/>
        <v>1927527.1</v>
      </c>
      <c r="M316" s="71">
        <f t="shared" si="28"/>
        <v>17276.899999999907</v>
      </c>
    </row>
    <row r="317" spans="1:13" ht="22.5">
      <c r="A317" s="39" t="s">
        <v>266</v>
      </c>
      <c r="B317" s="65"/>
      <c r="C317" s="125" t="s">
        <v>644</v>
      </c>
      <c r="D317" s="70"/>
      <c r="E317" s="70"/>
      <c r="F317" s="70"/>
      <c r="G317" s="70"/>
      <c r="H317" s="70"/>
      <c r="I317" s="70"/>
      <c r="J317" s="70"/>
      <c r="K317" s="71">
        <f t="shared" si="29"/>
        <v>1944804</v>
      </c>
      <c r="L317" s="71">
        <f t="shared" si="29"/>
        <v>1927527.1</v>
      </c>
      <c r="M317" s="71">
        <f t="shared" si="28"/>
        <v>17276.899999999907</v>
      </c>
    </row>
    <row r="318" spans="1:13" ht="12.75">
      <c r="A318" s="68" t="s">
        <v>77</v>
      </c>
      <c r="B318" s="65"/>
      <c r="C318" s="70" t="s">
        <v>645</v>
      </c>
      <c r="D318" s="70"/>
      <c r="E318" s="70"/>
      <c r="F318" s="70"/>
      <c r="G318" s="70"/>
      <c r="H318" s="70"/>
      <c r="I318" s="70"/>
      <c r="J318" s="70"/>
      <c r="K318" s="71">
        <f t="shared" si="29"/>
        <v>1944804</v>
      </c>
      <c r="L318" s="71">
        <f t="shared" si="29"/>
        <v>1927527.1</v>
      </c>
      <c r="M318" s="71">
        <f t="shared" si="28"/>
        <v>17276.899999999907</v>
      </c>
    </row>
    <row r="319" spans="1:13" ht="12.75">
      <c r="A319" s="68" t="s">
        <v>81</v>
      </c>
      <c r="B319" s="65"/>
      <c r="C319" s="70" t="s">
        <v>646</v>
      </c>
      <c r="D319" s="70"/>
      <c r="E319" s="70"/>
      <c r="F319" s="70"/>
      <c r="G319" s="70"/>
      <c r="H319" s="70"/>
      <c r="I319" s="70"/>
      <c r="J319" s="70"/>
      <c r="K319" s="71">
        <f>K320+K321</f>
        <v>1944804</v>
      </c>
      <c r="L319" s="71">
        <f>L320+L321</f>
        <v>1927527.1</v>
      </c>
      <c r="M319" s="71">
        <f t="shared" si="28"/>
        <v>17276.899999999907</v>
      </c>
    </row>
    <row r="320" spans="1:13" ht="12.75">
      <c r="A320" s="68" t="s">
        <v>184</v>
      </c>
      <c r="B320" s="65"/>
      <c r="C320" s="70" t="s">
        <v>25</v>
      </c>
      <c r="D320" s="70"/>
      <c r="E320" s="70"/>
      <c r="F320" s="70"/>
      <c r="G320" s="70"/>
      <c r="H320" s="70"/>
      <c r="I320" s="70"/>
      <c r="J320" s="70"/>
      <c r="K320" s="71">
        <v>1903904</v>
      </c>
      <c r="L320" s="71">
        <v>1886884.48</v>
      </c>
      <c r="M320" s="71">
        <f t="shared" si="28"/>
        <v>17019.52000000002</v>
      </c>
    </row>
    <row r="321" spans="1:13" ht="12.75">
      <c r="A321" s="68" t="s">
        <v>172</v>
      </c>
      <c r="B321" s="65"/>
      <c r="C321" s="70" t="s">
        <v>647</v>
      </c>
      <c r="D321" s="70"/>
      <c r="E321" s="70"/>
      <c r="F321" s="70"/>
      <c r="G321" s="70"/>
      <c r="H321" s="70"/>
      <c r="I321" s="70"/>
      <c r="J321" s="70"/>
      <c r="K321" s="71">
        <v>40900</v>
      </c>
      <c r="L321" s="71">
        <v>40642.62</v>
      </c>
      <c r="M321" s="71">
        <f t="shared" si="28"/>
        <v>257.3799999999974</v>
      </c>
    </row>
    <row r="322" spans="1:15" ht="12.75">
      <c r="A322" s="39" t="s">
        <v>485</v>
      </c>
      <c r="B322" s="76"/>
      <c r="C322" s="70" t="s">
        <v>496</v>
      </c>
      <c r="D322" s="70"/>
      <c r="E322" s="70"/>
      <c r="F322" s="70"/>
      <c r="G322" s="70"/>
      <c r="H322" s="70"/>
      <c r="I322" s="70"/>
      <c r="J322" s="70"/>
      <c r="K322" s="71">
        <f>K323</f>
        <v>16697600</v>
      </c>
      <c r="L322" s="71">
        <f>L323</f>
        <v>16697600</v>
      </c>
      <c r="M322" s="71">
        <f t="shared" si="24"/>
        <v>0</v>
      </c>
      <c r="N322" s="57"/>
      <c r="O322" s="57"/>
    </row>
    <row r="323" spans="1:15" ht="12.75">
      <c r="A323" s="68" t="s">
        <v>77</v>
      </c>
      <c r="B323" s="76"/>
      <c r="C323" s="70" t="s">
        <v>497</v>
      </c>
      <c r="D323" s="70"/>
      <c r="E323" s="70"/>
      <c r="F323" s="70"/>
      <c r="G323" s="70"/>
      <c r="H323" s="70"/>
      <c r="I323" s="70"/>
      <c r="J323" s="70"/>
      <c r="K323" s="71">
        <f>K324</f>
        <v>16697600</v>
      </c>
      <c r="L323" s="71">
        <f>L324</f>
        <v>16697600</v>
      </c>
      <c r="M323" s="71">
        <f t="shared" si="24"/>
        <v>0</v>
      </c>
      <c r="N323" s="57"/>
      <c r="O323" s="57"/>
    </row>
    <row r="324" spans="1:15" ht="12.75">
      <c r="A324" s="68" t="s">
        <v>103</v>
      </c>
      <c r="B324" s="76"/>
      <c r="C324" s="70" t="s">
        <v>498</v>
      </c>
      <c r="D324" s="70"/>
      <c r="E324" s="70"/>
      <c r="F324" s="70"/>
      <c r="G324" s="70"/>
      <c r="H324" s="70"/>
      <c r="I324" s="70"/>
      <c r="J324" s="70"/>
      <c r="K324" s="71">
        <f>SUM(K325:K325)</f>
        <v>16697600</v>
      </c>
      <c r="L324" s="71">
        <f>SUM(L325:L325)</f>
        <v>16697600</v>
      </c>
      <c r="M324" s="71">
        <f t="shared" si="24"/>
        <v>0</v>
      </c>
      <c r="N324" s="57"/>
      <c r="O324" s="57"/>
    </row>
    <row r="325" spans="1:14" ht="33.75">
      <c r="A325" s="68" t="s">
        <v>484</v>
      </c>
      <c r="B325" s="76"/>
      <c r="C325" s="70" t="s">
        <v>499</v>
      </c>
      <c r="D325" s="70"/>
      <c r="E325" s="70"/>
      <c r="F325" s="70"/>
      <c r="G325" s="70"/>
      <c r="H325" s="70"/>
      <c r="I325" s="70"/>
      <c r="J325" s="70"/>
      <c r="K325" s="71">
        <f>8717300+92700+7887600</f>
        <v>16697600</v>
      </c>
      <c r="L325" s="71">
        <v>16697600</v>
      </c>
      <c r="M325" s="71">
        <f t="shared" si="24"/>
        <v>0</v>
      </c>
      <c r="N325" s="57"/>
    </row>
    <row r="326" spans="1:13" ht="12.75">
      <c r="A326" s="36" t="s">
        <v>406</v>
      </c>
      <c r="B326" s="40"/>
      <c r="C326" s="38" t="s">
        <v>500</v>
      </c>
      <c r="D326" s="38"/>
      <c r="E326" s="38"/>
      <c r="F326" s="38"/>
      <c r="G326" s="38"/>
      <c r="H326" s="38"/>
      <c r="I326" s="38"/>
      <c r="J326" s="38"/>
      <c r="K326" s="52">
        <f aca="true" t="shared" si="30" ref="K326:L329">K327</f>
        <v>3717100</v>
      </c>
      <c r="L326" s="52">
        <f t="shared" si="30"/>
        <v>3717100</v>
      </c>
      <c r="M326" s="52">
        <f t="shared" si="24"/>
        <v>0</v>
      </c>
    </row>
    <row r="327" spans="1:13" ht="21">
      <c r="A327" s="64" t="s">
        <v>405</v>
      </c>
      <c r="B327" s="65"/>
      <c r="C327" s="66" t="s">
        <v>501</v>
      </c>
      <c r="D327" s="66"/>
      <c r="E327" s="66"/>
      <c r="F327" s="66"/>
      <c r="G327" s="66"/>
      <c r="H327" s="66"/>
      <c r="I327" s="66"/>
      <c r="J327" s="66"/>
      <c r="K327" s="67">
        <f t="shared" si="30"/>
        <v>3717100</v>
      </c>
      <c r="L327" s="67">
        <f t="shared" si="30"/>
        <v>3717100</v>
      </c>
      <c r="M327" s="67">
        <f t="shared" si="24"/>
        <v>0</v>
      </c>
    </row>
    <row r="328" spans="1:15" ht="12.75">
      <c r="A328" s="39" t="s">
        <v>485</v>
      </c>
      <c r="B328" s="65"/>
      <c r="C328" s="88" t="s">
        <v>502</v>
      </c>
      <c r="D328" s="88"/>
      <c r="E328" s="88"/>
      <c r="F328" s="88"/>
      <c r="G328" s="88"/>
      <c r="H328" s="88"/>
      <c r="I328" s="88"/>
      <c r="J328" s="88"/>
      <c r="K328" s="89">
        <f t="shared" si="30"/>
        <v>3717100</v>
      </c>
      <c r="L328" s="89">
        <f t="shared" si="30"/>
        <v>3717100</v>
      </c>
      <c r="M328" s="89">
        <f t="shared" si="24"/>
        <v>0</v>
      </c>
      <c r="N328" s="57"/>
      <c r="O328" s="57"/>
    </row>
    <row r="329" spans="1:15" ht="12.75">
      <c r="A329" s="68" t="s">
        <v>77</v>
      </c>
      <c r="B329" s="65"/>
      <c r="C329" s="88" t="s">
        <v>503</v>
      </c>
      <c r="D329" s="88"/>
      <c r="E329" s="88"/>
      <c r="F329" s="88"/>
      <c r="G329" s="88"/>
      <c r="H329" s="88"/>
      <c r="I329" s="88"/>
      <c r="J329" s="88"/>
      <c r="K329" s="89">
        <f t="shared" si="30"/>
        <v>3717100</v>
      </c>
      <c r="L329" s="89">
        <f t="shared" si="30"/>
        <v>3717100</v>
      </c>
      <c r="M329" s="89">
        <f t="shared" si="24"/>
        <v>0</v>
      </c>
      <c r="N329" s="57"/>
      <c r="O329" s="57"/>
    </row>
    <row r="330" spans="1:15" ht="12.75">
      <c r="A330" s="68" t="s">
        <v>103</v>
      </c>
      <c r="B330" s="65"/>
      <c r="C330" s="88" t="s">
        <v>504</v>
      </c>
      <c r="D330" s="88"/>
      <c r="E330" s="88"/>
      <c r="F330" s="88"/>
      <c r="G330" s="88"/>
      <c r="H330" s="88"/>
      <c r="I330" s="88"/>
      <c r="J330" s="88"/>
      <c r="K330" s="89">
        <f>SUM(K331:K331)</f>
        <v>3717100</v>
      </c>
      <c r="L330" s="89">
        <f>SUM(L331:L331)</f>
        <v>3717100</v>
      </c>
      <c r="M330" s="89">
        <f t="shared" si="24"/>
        <v>0</v>
      </c>
      <c r="N330" s="57"/>
      <c r="O330" s="57"/>
    </row>
    <row r="331" spans="1:14" ht="33.75">
      <c r="A331" s="68" t="s">
        <v>484</v>
      </c>
      <c r="B331" s="65"/>
      <c r="C331" s="88" t="s">
        <v>505</v>
      </c>
      <c r="D331" s="88"/>
      <c r="E331" s="88"/>
      <c r="F331" s="88"/>
      <c r="G331" s="88"/>
      <c r="H331" s="88"/>
      <c r="I331" s="88"/>
      <c r="J331" s="88"/>
      <c r="K331" s="89">
        <v>3717100</v>
      </c>
      <c r="L331" s="89">
        <v>3717100</v>
      </c>
      <c r="M331" s="89">
        <f t="shared" si="24"/>
        <v>0</v>
      </c>
      <c r="N331" s="57"/>
    </row>
    <row r="332" spans="1:14" ht="12.75">
      <c r="A332" s="36" t="s">
        <v>204</v>
      </c>
      <c r="B332" s="65"/>
      <c r="C332" s="66" t="s">
        <v>603</v>
      </c>
      <c r="D332" s="123"/>
      <c r="E332" s="123"/>
      <c r="F332" s="123"/>
      <c r="G332" s="123"/>
      <c r="H332" s="123"/>
      <c r="I332" s="123"/>
      <c r="J332" s="123"/>
      <c r="K332" s="67">
        <f>K333</f>
        <v>164100</v>
      </c>
      <c r="L332" s="67">
        <f>L333</f>
        <v>117200</v>
      </c>
      <c r="M332" s="67">
        <f aca="true" t="shared" si="31" ref="M332:M338">K332-L332</f>
        <v>46900</v>
      </c>
      <c r="N332" s="57"/>
    </row>
    <row r="333" spans="1:14" ht="63">
      <c r="A333" s="36" t="s">
        <v>42</v>
      </c>
      <c r="B333" s="65"/>
      <c r="C333" s="66" t="s">
        <v>43</v>
      </c>
      <c r="D333" s="123"/>
      <c r="E333" s="123"/>
      <c r="F333" s="123"/>
      <c r="G333" s="123"/>
      <c r="H333" s="123"/>
      <c r="I333" s="123"/>
      <c r="J333" s="123"/>
      <c r="K333" s="67">
        <f>K334</f>
        <v>164100</v>
      </c>
      <c r="L333" s="67">
        <f>L334</f>
        <v>117200</v>
      </c>
      <c r="M333" s="67">
        <f t="shared" si="31"/>
        <v>46900</v>
      </c>
      <c r="N333" s="57"/>
    </row>
    <row r="334" spans="1:14" ht="31.5">
      <c r="A334" s="64" t="s">
        <v>605</v>
      </c>
      <c r="B334" s="65"/>
      <c r="C334" s="66" t="s">
        <v>604</v>
      </c>
      <c r="D334" s="123"/>
      <c r="E334" s="123"/>
      <c r="F334" s="123"/>
      <c r="G334" s="123"/>
      <c r="H334" s="123"/>
      <c r="I334" s="123"/>
      <c r="J334" s="123"/>
      <c r="K334" s="67">
        <f aca="true" t="shared" si="32" ref="K334:L337">K335</f>
        <v>164100</v>
      </c>
      <c r="L334" s="67">
        <f t="shared" si="32"/>
        <v>117200</v>
      </c>
      <c r="M334" s="67">
        <f t="shared" si="31"/>
        <v>46900</v>
      </c>
      <c r="N334" s="57"/>
    </row>
    <row r="335" spans="1:14" ht="12.75">
      <c r="A335" s="68" t="s">
        <v>485</v>
      </c>
      <c r="B335" s="65"/>
      <c r="C335" s="88" t="s">
        <v>599</v>
      </c>
      <c r="D335" s="88"/>
      <c r="E335" s="88"/>
      <c r="F335" s="88"/>
      <c r="G335" s="88"/>
      <c r="H335" s="88"/>
      <c r="I335" s="88"/>
      <c r="J335" s="88"/>
      <c r="K335" s="89">
        <f t="shared" si="32"/>
        <v>164100</v>
      </c>
      <c r="L335" s="89">
        <f t="shared" si="32"/>
        <v>117200</v>
      </c>
      <c r="M335" s="124">
        <f t="shared" si="31"/>
        <v>46900</v>
      </c>
      <c r="N335" s="57"/>
    </row>
    <row r="336" spans="1:14" ht="12.75">
      <c r="A336" s="68" t="s">
        <v>77</v>
      </c>
      <c r="B336" s="65"/>
      <c r="C336" s="88" t="s">
        <v>600</v>
      </c>
      <c r="D336" s="88"/>
      <c r="E336" s="88"/>
      <c r="F336" s="88"/>
      <c r="G336" s="88"/>
      <c r="H336" s="88"/>
      <c r="I336" s="88"/>
      <c r="J336" s="88"/>
      <c r="K336" s="89">
        <f t="shared" si="32"/>
        <v>164100</v>
      </c>
      <c r="L336" s="89">
        <f t="shared" si="32"/>
        <v>117200</v>
      </c>
      <c r="M336" s="124">
        <f t="shared" si="31"/>
        <v>46900</v>
      </c>
      <c r="N336" s="57"/>
    </row>
    <row r="337" spans="1:14" ht="12.75">
      <c r="A337" s="68" t="s">
        <v>103</v>
      </c>
      <c r="B337" s="65"/>
      <c r="C337" s="88" t="s">
        <v>601</v>
      </c>
      <c r="D337" s="88"/>
      <c r="E337" s="88"/>
      <c r="F337" s="88"/>
      <c r="G337" s="88"/>
      <c r="H337" s="88"/>
      <c r="I337" s="88"/>
      <c r="J337" s="88"/>
      <c r="K337" s="89">
        <f t="shared" si="32"/>
        <v>164100</v>
      </c>
      <c r="L337" s="89">
        <f t="shared" si="32"/>
        <v>117200</v>
      </c>
      <c r="M337" s="124">
        <f t="shared" si="31"/>
        <v>46900</v>
      </c>
      <c r="N337" s="57"/>
    </row>
    <row r="338" spans="1:14" ht="33.75">
      <c r="A338" s="68" t="s">
        <v>484</v>
      </c>
      <c r="B338" s="65"/>
      <c r="C338" s="88" t="s">
        <v>602</v>
      </c>
      <c r="D338" s="88"/>
      <c r="E338" s="88"/>
      <c r="F338" s="88"/>
      <c r="G338" s="88"/>
      <c r="H338" s="88"/>
      <c r="I338" s="88"/>
      <c r="J338" s="88"/>
      <c r="K338" s="89">
        <v>164100</v>
      </c>
      <c r="L338" s="89">
        <v>117200</v>
      </c>
      <c r="M338" s="124">
        <f t="shared" si="31"/>
        <v>46900</v>
      </c>
      <c r="N338" s="57"/>
    </row>
    <row r="339" spans="1:14" ht="12.75">
      <c r="A339" s="64" t="s">
        <v>456</v>
      </c>
      <c r="B339" s="65"/>
      <c r="C339" s="66" t="s">
        <v>569</v>
      </c>
      <c r="D339" s="66"/>
      <c r="E339" s="66"/>
      <c r="F339" s="66"/>
      <c r="G339" s="66"/>
      <c r="H339" s="66"/>
      <c r="I339" s="66"/>
      <c r="J339" s="66"/>
      <c r="K339" s="67">
        <f>K340+K345</f>
        <v>1562500</v>
      </c>
      <c r="L339" s="67">
        <f>L340+L345</f>
        <v>1562500</v>
      </c>
      <c r="M339" s="67">
        <f aca="true" t="shared" si="33" ref="M339:M376">K339-L339</f>
        <v>0</v>
      </c>
      <c r="N339" s="57"/>
    </row>
    <row r="340" spans="1:14" ht="31.5">
      <c r="A340" s="64" t="s">
        <v>570</v>
      </c>
      <c r="B340" s="65"/>
      <c r="C340" s="66" t="s">
        <v>571</v>
      </c>
      <c r="D340" s="66"/>
      <c r="E340" s="66"/>
      <c r="F340" s="66"/>
      <c r="G340" s="66"/>
      <c r="H340" s="66"/>
      <c r="I340" s="66"/>
      <c r="J340" s="66"/>
      <c r="K340" s="67">
        <f aca="true" t="shared" si="34" ref="K340:L343">K341</f>
        <v>62500</v>
      </c>
      <c r="L340" s="67">
        <f t="shared" si="34"/>
        <v>62500</v>
      </c>
      <c r="M340" s="67">
        <f t="shared" si="33"/>
        <v>0</v>
      </c>
      <c r="N340" s="57"/>
    </row>
    <row r="341" spans="1:14" ht="12.75">
      <c r="A341" s="68" t="s">
        <v>485</v>
      </c>
      <c r="B341" s="65"/>
      <c r="C341" s="88" t="s">
        <v>572</v>
      </c>
      <c r="D341" s="88"/>
      <c r="E341" s="88"/>
      <c r="F341" s="88"/>
      <c r="G341" s="88"/>
      <c r="H341" s="88"/>
      <c r="I341" s="88"/>
      <c r="J341" s="88"/>
      <c r="K341" s="89">
        <f t="shared" si="34"/>
        <v>62500</v>
      </c>
      <c r="L341" s="89">
        <f t="shared" si="34"/>
        <v>62500</v>
      </c>
      <c r="M341" s="89">
        <f t="shared" si="33"/>
        <v>0</v>
      </c>
      <c r="N341" s="57"/>
    </row>
    <row r="342" spans="1:14" ht="12.75">
      <c r="A342" s="68" t="s">
        <v>77</v>
      </c>
      <c r="B342" s="65"/>
      <c r="C342" s="88" t="s">
        <v>573</v>
      </c>
      <c r="D342" s="88"/>
      <c r="E342" s="88"/>
      <c r="F342" s="88"/>
      <c r="G342" s="88"/>
      <c r="H342" s="88"/>
      <c r="I342" s="88"/>
      <c r="J342" s="88"/>
      <c r="K342" s="89">
        <f t="shared" si="34"/>
        <v>62500</v>
      </c>
      <c r="L342" s="89">
        <f t="shared" si="34"/>
        <v>62500</v>
      </c>
      <c r="M342" s="89">
        <f t="shared" si="33"/>
        <v>0</v>
      </c>
      <c r="N342" s="57"/>
    </row>
    <row r="343" spans="1:14" ht="12.75">
      <c r="A343" s="68" t="s">
        <v>103</v>
      </c>
      <c r="B343" s="65"/>
      <c r="C343" s="88" t="s">
        <v>574</v>
      </c>
      <c r="D343" s="88"/>
      <c r="E343" s="88"/>
      <c r="F343" s="88"/>
      <c r="G343" s="88"/>
      <c r="H343" s="88"/>
      <c r="I343" s="88"/>
      <c r="J343" s="88"/>
      <c r="K343" s="89">
        <f t="shared" si="34"/>
        <v>62500</v>
      </c>
      <c r="L343" s="89">
        <f t="shared" si="34"/>
        <v>62500</v>
      </c>
      <c r="M343" s="89">
        <f t="shared" si="33"/>
        <v>0</v>
      </c>
      <c r="N343" s="57"/>
    </row>
    <row r="344" spans="1:14" ht="33.75">
      <c r="A344" s="68" t="s">
        <v>484</v>
      </c>
      <c r="B344" s="65"/>
      <c r="C344" s="88" t="s">
        <v>575</v>
      </c>
      <c r="D344" s="88"/>
      <c r="E344" s="88"/>
      <c r="F344" s="88"/>
      <c r="G344" s="88"/>
      <c r="H344" s="88"/>
      <c r="I344" s="88"/>
      <c r="J344" s="88"/>
      <c r="K344" s="89">
        <v>62500</v>
      </c>
      <c r="L344" s="89">
        <v>62500</v>
      </c>
      <c r="M344" s="89">
        <f t="shared" si="33"/>
        <v>0</v>
      </c>
      <c r="N344" s="57"/>
    </row>
    <row r="345" spans="1:14" ht="42">
      <c r="A345" s="64" t="s">
        <v>606</v>
      </c>
      <c r="B345" s="65"/>
      <c r="C345" s="66" t="s">
        <v>607</v>
      </c>
      <c r="D345" s="66"/>
      <c r="E345" s="66"/>
      <c r="F345" s="66"/>
      <c r="G345" s="66"/>
      <c r="H345" s="66"/>
      <c r="I345" s="66"/>
      <c r="J345" s="66"/>
      <c r="K345" s="67">
        <f aca="true" t="shared" si="35" ref="K345:L348">K346</f>
        <v>1500000</v>
      </c>
      <c r="L345" s="67">
        <f t="shared" si="35"/>
        <v>1500000</v>
      </c>
      <c r="M345" s="52">
        <f t="shared" si="33"/>
        <v>0</v>
      </c>
      <c r="N345" s="57"/>
    </row>
    <row r="346" spans="1:14" ht="22.5">
      <c r="A346" s="68" t="s">
        <v>266</v>
      </c>
      <c r="B346" s="65"/>
      <c r="C346" s="88" t="s">
        <v>659</v>
      </c>
      <c r="D346" s="66"/>
      <c r="E346" s="66"/>
      <c r="F346" s="66"/>
      <c r="G346" s="66"/>
      <c r="H346" s="66"/>
      <c r="I346" s="66"/>
      <c r="J346" s="66"/>
      <c r="K346" s="124">
        <f t="shared" si="35"/>
        <v>1500000</v>
      </c>
      <c r="L346" s="124">
        <f t="shared" si="35"/>
        <v>1500000</v>
      </c>
      <c r="M346" s="81">
        <f t="shared" si="33"/>
        <v>0</v>
      </c>
      <c r="N346" s="57"/>
    </row>
    <row r="347" spans="1:14" ht="12.75">
      <c r="A347" s="68" t="s">
        <v>77</v>
      </c>
      <c r="B347" s="65"/>
      <c r="C347" s="88" t="s">
        <v>660</v>
      </c>
      <c r="D347" s="88"/>
      <c r="E347" s="88"/>
      <c r="F347" s="88"/>
      <c r="G347" s="88"/>
      <c r="H347" s="88"/>
      <c r="I347" s="88"/>
      <c r="J347" s="88"/>
      <c r="K347" s="89">
        <f t="shared" si="35"/>
        <v>1500000</v>
      </c>
      <c r="L347" s="89">
        <f t="shared" si="35"/>
        <v>1500000</v>
      </c>
      <c r="M347" s="81">
        <f t="shared" si="33"/>
        <v>0</v>
      </c>
      <c r="N347" s="57"/>
    </row>
    <row r="348" spans="1:14" ht="12.75">
      <c r="A348" s="68" t="s">
        <v>81</v>
      </c>
      <c r="B348" s="65"/>
      <c r="C348" s="91" t="s">
        <v>723</v>
      </c>
      <c r="D348" s="88"/>
      <c r="E348" s="88"/>
      <c r="F348" s="88"/>
      <c r="G348" s="88"/>
      <c r="H348" s="88"/>
      <c r="I348" s="88"/>
      <c r="J348" s="88"/>
      <c r="K348" s="89">
        <f t="shared" si="35"/>
        <v>1500000</v>
      </c>
      <c r="L348" s="89">
        <f t="shared" si="35"/>
        <v>1500000</v>
      </c>
      <c r="M348" s="81">
        <f t="shared" si="33"/>
        <v>0</v>
      </c>
      <c r="N348" s="57"/>
    </row>
    <row r="349" spans="1:14" ht="12.75">
      <c r="A349" s="68" t="s">
        <v>184</v>
      </c>
      <c r="B349" s="65"/>
      <c r="C349" s="91" t="s">
        <v>722</v>
      </c>
      <c r="D349" s="88"/>
      <c r="E349" s="88"/>
      <c r="F349" s="88"/>
      <c r="G349" s="88"/>
      <c r="H349" s="88"/>
      <c r="I349" s="88"/>
      <c r="J349" s="88"/>
      <c r="K349" s="89">
        <v>1500000</v>
      </c>
      <c r="L349" s="89">
        <v>1500000</v>
      </c>
      <c r="M349" s="81">
        <f t="shared" si="33"/>
        <v>0</v>
      </c>
      <c r="N349" s="57"/>
    </row>
    <row r="350" spans="1:14" ht="31.5">
      <c r="A350" s="36" t="s">
        <v>653</v>
      </c>
      <c r="B350" s="65"/>
      <c r="C350" s="66" t="s">
        <v>654</v>
      </c>
      <c r="D350" s="66"/>
      <c r="E350" s="66"/>
      <c r="F350" s="66"/>
      <c r="G350" s="66"/>
      <c r="H350" s="66"/>
      <c r="I350" s="66"/>
      <c r="J350" s="66"/>
      <c r="K350" s="67">
        <f aca="true" t="shared" si="36" ref="K350:L353">K351</f>
        <v>200000</v>
      </c>
      <c r="L350" s="67">
        <f t="shared" si="36"/>
        <v>200000</v>
      </c>
      <c r="M350" s="52">
        <f t="shared" si="33"/>
        <v>0</v>
      </c>
      <c r="N350" s="57"/>
    </row>
    <row r="351" spans="1:14" ht="12.75">
      <c r="A351" s="39" t="s">
        <v>485</v>
      </c>
      <c r="B351" s="65"/>
      <c r="C351" s="88" t="s">
        <v>655</v>
      </c>
      <c r="D351" s="88"/>
      <c r="E351" s="88"/>
      <c r="F351" s="88"/>
      <c r="G351" s="88"/>
      <c r="H351" s="88"/>
      <c r="I351" s="88"/>
      <c r="J351" s="88"/>
      <c r="K351" s="89">
        <f t="shared" si="36"/>
        <v>200000</v>
      </c>
      <c r="L351" s="89">
        <f t="shared" si="36"/>
        <v>200000</v>
      </c>
      <c r="M351" s="81">
        <f t="shared" si="33"/>
        <v>0</v>
      </c>
      <c r="N351" s="57"/>
    </row>
    <row r="352" spans="1:14" ht="12.75">
      <c r="A352" s="68" t="s">
        <v>77</v>
      </c>
      <c r="B352" s="65"/>
      <c r="C352" s="88" t="s">
        <v>656</v>
      </c>
      <c r="D352" s="88"/>
      <c r="E352" s="88"/>
      <c r="F352" s="88"/>
      <c r="G352" s="88"/>
      <c r="H352" s="88"/>
      <c r="I352" s="88"/>
      <c r="J352" s="88"/>
      <c r="K352" s="89">
        <f t="shared" si="36"/>
        <v>200000</v>
      </c>
      <c r="L352" s="89">
        <f t="shared" si="36"/>
        <v>200000</v>
      </c>
      <c r="M352" s="81">
        <f t="shared" si="33"/>
        <v>0</v>
      </c>
      <c r="N352" s="57"/>
    </row>
    <row r="353" spans="1:14" ht="12.75">
      <c r="A353" s="68" t="s">
        <v>103</v>
      </c>
      <c r="B353" s="65"/>
      <c r="C353" s="88" t="s">
        <v>657</v>
      </c>
      <c r="D353" s="88"/>
      <c r="E353" s="88"/>
      <c r="F353" s="88"/>
      <c r="G353" s="88"/>
      <c r="H353" s="88"/>
      <c r="I353" s="88"/>
      <c r="J353" s="88"/>
      <c r="K353" s="89">
        <f t="shared" si="36"/>
        <v>200000</v>
      </c>
      <c r="L353" s="89">
        <f t="shared" si="36"/>
        <v>200000</v>
      </c>
      <c r="M353" s="81">
        <f t="shared" si="33"/>
        <v>0</v>
      </c>
      <c r="N353" s="57"/>
    </row>
    <row r="354" spans="1:14" ht="33.75">
      <c r="A354" s="68" t="s">
        <v>484</v>
      </c>
      <c r="B354" s="65"/>
      <c r="C354" s="88" t="s">
        <v>658</v>
      </c>
      <c r="D354" s="88"/>
      <c r="E354" s="88"/>
      <c r="F354" s="88"/>
      <c r="G354" s="88"/>
      <c r="H354" s="88"/>
      <c r="I354" s="88"/>
      <c r="J354" s="88"/>
      <c r="K354" s="89">
        <v>200000</v>
      </c>
      <c r="L354" s="89">
        <v>200000</v>
      </c>
      <c r="M354" s="81">
        <f t="shared" si="33"/>
        <v>0</v>
      </c>
      <c r="N354" s="57"/>
    </row>
    <row r="355" spans="1:14" ht="12.75">
      <c r="A355" s="36" t="s">
        <v>197</v>
      </c>
      <c r="B355" s="40"/>
      <c r="C355" s="38" t="s">
        <v>381</v>
      </c>
      <c r="D355" s="49"/>
      <c r="E355" s="49"/>
      <c r="F355" s="49"/>
      <c r="G355" s="49"/>
      <c r="H355" s="49"/>
      <c r="I355" s="49"/>
      <c r="J355" s="49"/>
      <c r="K355" s="52">
        <f>K356+K363</f>
        <v>1391021</v>
      </c>
      <c r="L355" s="52">
        <f>L356+L363</f>
        <v>1391021</v>
      </c>
      <c r="M355" s="52">
        <f t="shared" si="33"/>
        <v>0</v>
      </c>
      <c r="N355" s="57"/>
    </row>
    <row r="356" spans="1:14" ht="12.75">
      <c r="A356" s="36" t="s">
        <v>382</v>
      </c>
      <c r="B356" s="40"/>
      <c r="C356" s="38" t="s">
        <v>383</v>
      </c>
      <c r="D356" s="49"/>
      <c r="E356" s="49"/>
      <c r="F356" s="49"/>
      <c r="G356" s="49"/>
      <c r="H356" s="49"/>
      <c r="I356" s="49"/>
      <c r="J356" s="49"/>
      <c r="K356" s="52">
        <f aca="true" t="shared" si="37" ref="K356:K361">SUM(K357)</f>
        <v>348497</v>
      </c>
      <c r="L356" s="52">
        <f>L357</f>
        <v>348497</v>
      </c>
      <c r="M356" s="52">
        <f t="shared" si="33"/>
        <v>0</v>
      </c>
      <c r="N356" s="57"/>
    </row>
    <row r="357" spans="1:14" ht="12.75">
      <c r="A357" s="36" t="s">
        <v>204</v>
      </c>
      <c r="B357" s="40"/>
      <c r="C357" s="38" t="s">
        <v>384</v>
      </c>
      <c r="D357" s="49"/>
      <c r="E357" s="49"/>
      <c r="F357" s="49"/>
      <c r="G357" s="49"/>
      <c r="H357" s="49"/>
      <c r="I357" s="49"/>
      <c r="J357" s="49"/>
      <c r="K357" s="52">
        <f t="shared" si="37"/>
        <v>348497</v>
      </c>
      <c r="L357" s="52">
        <f>L358</f>
        <v>348497</v>
      </c>
      <c r="M357" s="52">
        <f t="shared" si="33"/>
        <v>0</v>
      </c>
      <c r="N357" s="57"/>
    </row>
    <row r="358" spans="1:14" ht="63">
      <c r="A358" s="73" t="s">
        <v>272</v>
      </c>
      <c r="B358" s="72"/>
      <c r="C358" s="66" t="s">
        <v>385</v>
      </c>
      <c r="D358" s="70"/>
      <c r="E358" s="70"/>
      <c r="F358" s="70"/>
      <c r="G358" s="70"/>
      <c r="H358" s="70"/>
      <c r="I358" s="70"/>
      <c r="J358" s="70"/>
      <c r="K358" s="67">
        <f t="shared" si="37"/>
        <v>348497</v>
      </c>
      <c r="L358" s="67">
        <f>L359</f>
        <v>348497</v>
      </c>
      <c r="M358" s="67">
        <f t="shared" si="33"/>
        <v>0</v>
      </c>
      <c r="N358" s="57"/>
    </row>
    <row r="359" spans="1:14" ht="12.75">
      <c r="A359" s="68" t="s">
        <v>274</v>
      </c>
      <c r="B359" s="72"/>
      <c r="C359" s="70" t="s">
        <v>386</v>
      </c>
      <c r="D359" s="70"/>
      <c r="E359" s="70"/>
      <c r="F359" s="70"/>
      <c r="G359" s="70"/>
      <c r="H359" s="70"/>
      <c r="I359" s="70"/>
      <c r="J359" s="70"/>
      <c r="K359" s="71">
        <f t="shared" si="37"/>
        <v>348497</v>
      </c>
      <c r="L359" s="71">
        <f>SUM(L360)</f>
        <v>348497</v>
      </c>
      <c r="M359" s="71">
        <f t="shared" si="33"/>
        <v>0</v>
      </c>
      <c r="N359" s="57"/>
    </row>
    <row r="360" spans="1:14" ht="12.75">
      <c r="A360" s="68" t="s">
        <v>77</v>
      </c>
      <c r="B360" s="72"/>
      <c r="C360" s="70" t="s">
        <v>130</v>
      </c>
      <c r="D360" s="70"/>
      <c r="E360" s="70"/>
      <c r="F360" s="70"/>
      <c r="G360" s="70"/>
      <c r="H360" s="70"/>
      <c r="I360" s="70"/>
      <c r="J360" s="70"/>
      <c r="K360" s="71">
        <f t="shared" si="37"/>
        <v>348497</v>
      </c>
      <c r="L360" s="71">
        <f>SUM(L361)</f>
        <v>348497</v>
      </c>
      <c r="M360" s="71">
        <f t="shared" si="33"/>
        <v>0</v>
      </c>
      <c r="N360" s="57"/>
    </row>
    <row r="361" spans="1:14" ht="12.75">
      <c r="A361" s="68" t="s">
        <v>87</v>
      </c>
      <c r="B361" s="72"/>
      <c r="C361" s="70" t="s">
        <v>131</v>
      </c>
      <c r="D361" s="70"/>
      <c r="E361" s="70"/>
      <c r="F361" s="70"/>
      <c r="G361" s="70"/>
      <c r="H361" s="70"/>
      <c r="I361" s="70"/>
      <c r="J361" s="70"/>
      <c r="K361" s="71">
        <f t="shared" si="37"/>
        <v>348497</v>
      </c>
      <c r="L361" s="71">
        <f>SUM(L362)</f>
        <v>348497</v>
      </c>
      <c r="M361" s="71">
        <f t="shared" si="33"/>
        <v>0</v>
      </c>
      <c r="N361" s="57"/>
    </row>
    <row r="362" spans="1:14" ht="22.5">
      <c r="A362" s="68" t="s">
        <v>88</v>
      </c>
      <c r="B362" s="72"/>
      <c r="C362" s="70" t="s">
        <v>70</v>
      </c>
      <c r="D362" s="70"/>
      <c r="E362" s="70"/>
      <c r="F362" s="70"/>
      <c r="G362" s="70"/>
      <c r="H362" s="70"/>
      <c r="I362" s="70"/>
      <c r="J362" s="70"/>
      <c r="K362" s="71">
        <v>348497</v>
      </c>
      <c r="L362" s="71">
        <f>328400+20097</f>
        <v>348497</v>
      </c>
      <c r="M362" s="71">
        <f t="shared" si="33"/>
        <v>0</v>
      </c>
      <c r="N362" s="57"/>
    </row>
    <row r="363" spans="1:14" ht="12.75">
      <c r="A363" s="36" t="s">
        <v>387</v>
      </c>
      <c r="B363" s="40"/>
      <c r="C363" s="38" t="s">
        <v>388</v>
      </c>
      <c r="D363" s="49"/>
      <c r="E363" s="49"/>
      <c r="F363" s="49"/>
      <c r="G363" s="49"/>
      <c r="H363" s="49"/>
      <c r="I363" s="49"/>
      <c r="J363" s="49"/>
      <c r="K363" s="52">
        <f>K364+K370</f>
        <v>1042524</v>
      </c>
      <c r="L363" s="52">
        <f>L364+L370</f>
        <v>1042524</v>
      </c>
      <c r="M363" s="52">
        <f t="shared" si="33"/>
        <v>0</v>
      </c>
      <c r="N363" s="57"/>
    </row>
    <row r="364" spans="1:14" ht="12.75">
      <c r="A364" s="64" t="s">
        <v>618</v>
      </c>
      <c r="B364" s="40"/>
      <c r="C364" s="38" t="s">
        <v>623</v>
      </c>
      <c r="D364" s="49"/>
      <c r="E364" s="49"/>
      <c r="F364" s="49"/>
      <c r="G364" s="49"/>
      <c r="H364" s="49"/>
      <c r="I364" s="49"/>
      <c r="J364" s="49"/>
      <c r="K364" s="52">
        <f aca="true" t="shared" si="38" ref="K364:L368">K365</f>
        <v>968058</v>
      </c>
      <c r="L364" s="52">
        <f t="shared" si="38"/>
        <v>968058</v>
      </c>
      <c r="M364" s="52">
        <f t="shared" si="33"/>
        <v>0</v>
      </c>
      <c r="N364" s="57"/>
    </row>
    <row r="365" spans="1:14" ht="21">
      <c r="A365" s="36" t="s">
        <v>625</v>
      </c>
      <c r="B365" s="40"/>
      <c r="C365" s="38" t="s">
        <v>624</v>
      </c>
      <c r="D365" s="49"/>
      <c r="E365" s="49"/>
      <c r="F365" s="49"/>
      <c r="G365" s="49"/>
      <c r="H365" s="49"/>
      <c r="I365" s="49"/>
      <c r="J365" s="49"/>
      <c r="K365" s="52">
        <f t="shared" si="38"/>
        <v>968058</v>
      </c>
      <c r="L365" s="52">
        <f t="shared" si="38"/>
        <v>968058</v>
      </c>
      <c r="M365" s="52">
        <f t="shared" si="33"/>
        <v>0</v>
      </c>
      <c r="N365" s="57"/>
    </row>
    <row r="366" spans="1:14" ht="52.5">
      <c r="A366" s="36" t="s">
        <v>44</v>
      </c>
      <c r="B366" s="40"/>
      <c r="C366" s="38" t="s">
        <v>45</v>
      </c>
      <c r="D366" s="49"/>
      <c r="E366" s="49"/>
      <c r="F366" s="49"/>
      <c r="G366" s="49"/>
      <c r="H366" s="49"/>
      <c r="I366" s="49"/>
      <c r="J366" s="49"/>
      <c r="K366" s="52">
        <f t="shared" si="38"/>
        <v>968058</v>
      </c>
      <c r="L366" s="52">
        <f t="shared" si="38"/>
        <v>968058</v>
      </c>
      <c r="M366" s="52">
        <f t="shared" si="33"/>
        <v>0</v>
      </c>
      <c r="N366" s="57"/>
    </row>
    <row r="367" spans="1:14" ht="12.75">
      <c r="A367" s="68" t="s">
        <v>389</v>
      </c>
      <c r="B367" s="40"/>
      <c r="C367" s="80" t="s">
        <v>620</v>
      </c>
      <c r="D367" s="80"/>
      <c r="E367" s="80"/>
      <c r="F367" s="80"/>
      <c r="G367" s="80"/>
      <c r="H367" s="80"/>
      <c r="I367" s="80"/>
      <c r="J367" s="80"/>
      <c r="K367" s="81">
        <f t="shared" si="38"/>
        <v>968058</v>
      </c>
      <c r="L367" s="81">
        <f t="shared" si="38"/>
        <v>968058</v>
      </c>
      <c r="M367" s="52">
        <f t="shared" si="33"/>
        <v>0</v>
      </c>
      <c r="N367" s="57"/>
    </row>
    <row r="368" spans="1:14" ht="12.75">
      <c r="A368" s="68" t="s">
        <v>77</v>
      </c>
      <c r="B368" s="40"/>
      <c r="C368" s="80" t="s">
        <v>621</v>
      </c>
      <c r="D368" s="49"/>
      <c r="E368" s="49"/>
      <c r="F368" s="49"/>
      <c r="G368" s="49"/>
      <c r="H368" s="49"/>
      <c r="I368" s="49"/>
      <c r="J368" s="49"/>
      <c r="K368" s="81">
        <f t="shared" si="38"/>
        <v>968058</v>
      </c>
      <c r="L368" s="81">
        <f t="shared" si="38"/>
        <v>968058</v>
      </c>
      <c r="M368" s="52">
        <f t="shared" si="33"/>
        <v>0</v>
      </c>
      <c r="N368" s="57"/>
    </row>
    <row r="369" spans="1:14" ht="12.75">
      <c r="A369" s="68" t="s">
        <v>133</v>
      </c>
      <c r="B369" s="40"/>
      <c r="C369" s="80" t="s">
        <v>622</v>
      </c>
      <c r="D369" s="49"/>
      <c r="E369" s="49"/>
      <c r="F369" s="49"/>
      <c r="G369" s="49"/>
      <c r="H369" s="49"/>
      <c r="I369" s="49"/>
      <c r="J369" s="49"/>
      <c r="K369" s="81">
        <v>968058</v>
      </c>
      <c r="L369" s="81">
        <v>968058</v>
      </c>
      <c r="M369" s="52">
        <f t="shared" si="33"/>
        <v>0</v>
      </c>
      <c r="N369" s="57"/>
    </row>
    <row r="370" spans="1:14" ht="21">
      <c r="A370" s="36" t="s">
        <v>316</v>
      </c>
      <c r="B370" s="40"/>
      <c r="C370" s="38" t="s">
        <v>390</v>
      </c>
      <c r="D370" s="49"/>
      <c r="E370" s="49"/>
      <c r="F370" s="49"/>
      <c r="G370" s="49"/>
      <c r="H370" s="49"/>
      <c r="I370" s="49"/>
      <c r="J370" s="49"/>
      <c r="K370" s="52">
        <f aca="true" t="shared" si="39" ref="K370:L372">K371</f>
        <v>74466</v>
      </c>
      <c r="L370" s="52">
        <f t="shared" si="39"/>
        <v>74466</v>
      </c>
      <c r="M370" s="52">
        <f t="shared" si="33"/>
        <v>0</v>
      </c>
      <c r="N370" s="57"/>
    </row>
    <row r="371" spans="1:14" ht="42">
      <c r="A371" s="36" t="s">
        <v>633</v>
      </c>
      <c r="B371" s="45"/>
      <c r="C371" s="38" t="s">
        <v>391</v>
      </c>
      <c r="D371" s="49"/>
      <c r="E371" s="49"/>
      <c r="F371" s="49"/>
      <c r="G371" s="49"/>
      <c r="H371" s="49"/>
      <c r="I371" s="49"/>
      <c r="J371" s="49"/>
      <c r="K371" s="52">
        <f t="shared" si="39"/>
        <v>74466</v>
      </c>
      <c r="L371" s="52">
        <f t="shared" si="39"/>
        <v>74466</v>
      </c>
      <c r="M371" s="52">
        <f t="shared" si="33"/>
        <v>0</v>
      </c>
      <c r="N371" s="57"/>
    </row>
    <row r="372" spans="1:14" ht="73.5">
      <c r="A372" s="64" t="s">
        <v>392</v>
      </c>
      <c r="B372" s="74"/>
      <c r="C372" s="66" t="s">
        <v>393</v>
      </c>
      <c r="D372" s="66"/>
      <c r="E372" s="66"/>
      <c r="F372" s="66"/>
      <c r="G372" s="66"/>
      <c r="H372" s="66"/>
      <c r="I372" s="66"/>
      <c r="J372" s="66"/>
      <c r="K372" s="67">
        <f t="shared" si="39"/>
        <v>74466</v>
      </c>
      <c r="L372" s="67">
        <f t="shared" si="39"/>
        <v>74466</v>
      </c>
      <c r="M372" s="67">
        <f t="shared" si="33"/>
        <v>0</v>
      </c>
      <c r="N372" s="57"/>
    </row>
    <row r="373" spans="1:14" ht="22.5">
      <c r="A373" s="68" t="s">
        <v>266</v>
      </c>
      <c r="B373" s="72"/>
      <c r="C373" s="70" t="s">
        <v>394</v>
      </c>
      <c r="D373" s="70"/>
      <c r="E373" s="70"/>
      <c r="F373" s="70"/>
      <c r="G373" s="70"/>
      <c r="H373" s="70"/>
      <c r="I373" s="70"/>
      <c r="J373" s="70"/>
      <c r="K373" s="71">
        <f>K374</f>
        <v>74466</v>
      </c>
      <c r="L373" s="71">
        <f>L374</f>
        <v>74466</v>
      </c>
      <c r="M373" s="71">
        <f t="shared" si="33"/>
        <v>0</v>
      </c>
      <c r="N373" s="57"/>
    </row>
    <row r="374" spans="1:14" ht="12.75">
      <c r="A374" s="68" t="s">
        <v>389</v>
      </c>
      <c r="B374" s="72"/>
      <c r="C374" s="70" t="s">
        <v>135</v>
      </c>
      <c r="D374" s="70"/>
      <c r="E374" s="70"/>
      <c r="F374" s="70"/>
      <c r="G374" s="70"/>
      <c r="H374" s="70"/>
      <c r="I374" s="70"/>
      <c r="J374" s="70"/>
      <c r="K374" s="71">
        <f>SUM(K375)</f>
        <v>74466</v>
      </c>
      <c r="L374" s="71">
        <f>SUM(L375)</f>
        <v>74466</v>
      </c>
      <c r="M374" s="71">
        <f t="shared" si="33"/>
        <v>0</v>
      </c>
      <c r="N374" s="57"/>
    </row>
    <row r="375" spans="1:14" ht="12.75">
      <c r="A375" s="68" t="s">
        <v>77</v>
      </c>
      <c r="B375" s="72"/>
      <c r="C375" s="70" t="s">
        <v>136</v>
      </c>
      <c r="D375" s="70"/>
      <c r="E375" s="70"/>
      <c r="F375" s="70"/>
      <c r="G375" s="70"/>
      <c r="H375" s="70"/>
      <c r="I375" s="70"/>
      <c r="J375" s="70"/>
      <c r="K375" s="71">
        <f>SUM(K376)</f>
        <v>74466</v>
      </c>
      <c r="L375" s="71">
        <f>SUM(L376)</f>
        <v>74466</v>
      </c>
      <c r="M375" s="71">
        <f t="shared" si="33"/>
        <v>0</v>
      </c>
      <c r="N375" s="57"/>
    </row>
    <row r="376" spans="1:14" ht="12.75">
      <c r="A376" s="68" t="s">
        <v>133</v>
      </c>
      <c r="B376" s="72"/>
      <c r="C376" s="70" t="s">
        <v>72</v>
      </c>
      <c r="D376" s="70"/>
      <c r="E376" s="70"/>
      <c r="F376" s="70"/>
      <c r="G376" s="70"/>
      <c r="H376" s="70"/>
      <c r="I376" s="70"/>
      <c r="J376" s="70"/>
      <c r="K376" s="71">
        <v>74466</v>
      </c>
      <c r="L376" s="71">
        <v>74466</v>
      </c>
      <c r="M376" s="71">
        <f t="shared" si="33"/>
        <v>0</v>
      </c>
      <c r="N376" s="57"/>
    </row>
    <row r="377" spans="1:13" ht="12.75">
      <c r="A377" s="36" t="s">
        <v>186</v>
      </c>
      <c r="B377" s="40"/>
      <c r="C377" s="38" t="s">
        <v>506</v>
      </c>
      <c r="D377" s="38"/>
      <c r="E377" s="38"/>
      <c r="F377" s="38"/>
      <c r="G377" s="38"/>
      <c r="H377" s="38"/>
      <c r="I377" s="38"/>
      <c r="J377" s="38"/>
      <c r="K377" s="52">
        <f aca="true" t="shared" si="40" ref="K377:L382">K378</f>
        <v>1556300</v>
      </c>
      <c r="L377" s="52">
        <f t="shared" si="40"/>
        <v>1556300</v>
      </c>
      <c r="M377" s="52">
        <f aca="true" t="shared" si="41" ref="M377:M413">K377-L377</f>
        <v>0</v>
      </c>
    </row>
    <row r="378" spans="1:13" ht="12.75">
      <c r="A378" s="36" t="s">
        <v>407</v>
      </c>
      <c r="B378" s="37"/>
      <c r="C378" s="38" t="s">
        <v>507</v>
      </c>
      <c r="D378" s="38"/>
      <c r="E378" s="38"/>
      <c r="F378" s="38"/>
      <c r="G378" s="38"/>
      <c r="H378" s="38"/>
      <c r="I378" s="38"/>
      <c r="J378" s="38"/>
      <c r="K378" s="52">
        <f t="shared" si="40"/>
        <v>1556300</v>
      </c>
      <c r="L378" s="52">
        <f t="shared" si="40"/>
        <v>1556300</v>
      </c>
      <c r="M378" s="52">
        <f t="shared" si="41"/>
        <v>0</v>
      </c>
    </row>
    <row r="379" spans="1:13" ht="21">
      <c r="A379" s="36" t="s">
        <v>408</v>
      </c>
      <c r="B379" s="37"/>
      <c r="C379" s="38" t="s">
        <v>508</v>
      </c>
      <c r="D379" s="38"/>
      <c r="E379" s="38"/>
      <c r="F379" s="38"/>
      <c r="G379" s="38"/>
      <c r="H379" s="38"/>
      <c r="I379" s="38"/>
      <c r="J379" s="38"/>
      <c r="K379" s="52">
        <f t="shared" si="40"/>
        <v>1556300</v>
      </c>
      <c r="L379" s="52">
        <f t="shared" si="40"/>
        <v>1556300</v>
      </c>
      <c r="M379" s="52">
        <f t="shared" si="41"/>
        <v>0</v>
      </c>
    </row>
    <row r="380" spans="1:13" ht="21">
      <c r="A380" s="64" t="s">
        <v>46</v>
      </c>
      <c r="B380" s="65"/>
      <c r="C380" s="66" t="s">
        <v>509</v>
      </c>
      <c r="D380" s="66"/>
      <c r="E380" s="66"/>
      <c r="F380" s="66"/>
      <c r="G380" s="66"/>
      <c r="H380" s="66"/>
      <c r="I380" s="66"/>
      <c r="J380" s="66"/>
      <c r="K380" s="67">
        <f t="shared" si="40"/>
        <v>1556300</v>
      </c>
      <c r="L380" s="67">
        <f t="shared" si="40"/>
        <v>1556300</v>
      </c>
      <c r="M380" s="67">
        <f t="shared" si="41"/>
        <v>0</v>
      </c>
    </row>
    <row r="381" spans="1:15" ht="12.75">
      <c r="A381" s="39" t="s">
        <v>485</v>
      </c>
      <c r="B381" s="65"/>
      <c r="C381" s="88" t="s">
        <v>510</v>
      </c>
      <c r="D381" s="88"/>
      <c r="E381" s="88"/>
      <c r="F381" s="88"/>
      <c r="G381" s="88"/>
      <c r="H381" s="88"/>
      <c r="I381" s="88"/>
      <c r="J381" s="88"/>
      <c r="K381" s="89">
        <f t="shared" si="40"/>
        <v>1556300</v>
      </c>
      <c r="L381" s="89">
        <f t="shared" si="40"/>
        <v>1556300</v>
      </c>
      <c r="M381" s="89">
        <f t="shared" si="41"/>
        <v>0</v>
      </c>
      <c r="N381" s="57"/>
      <c r="O381" s="57"/>
    </row>
    <row r="382" spans="1:15" ht="12.75">
      <c r="A382" s="68" t="s">
        <v>77</v>
      </c>
      <c r="B382" s="65"/>
      <c r="C382" s="88" t="s">
        <v>511</v>
      </c>
      <c r="D382" s="88"/>
      <c r="E382" s="88"/>
      <c r="F382" s="88"/>
      <c r="G382" s="88"/>
      <c r="H382" s="88"/>
      <c r="I382" s="88"/>
      <c r="J382" s="88"/>
      <c r="K382" s="89">
        <f t="shared" si="40"/>
        <v>1556300</v>
      </c>
      <c r="L382" s="89">
        <f t="shared" si="40"/>
        <v>1556300</v>
      </c>
      <c r="M382" s="89">
        <f t="shared" si="41"/>
        <v>0</v>
      </c>
      <c r="N382" s="57"/>
      <c r="O382" s="57"/>
    </row>
    <row r="383" spans="1:15" ht="12.75">
      <c r="A383" s="68" t="s">
        <v>103</v>
      </c>
      <c r="B383" s="65"/>
      <c r="C383" s="88" t="s">
        <v>512</v>
      </c>
      <c r="D383" s="88"/>
      <c r="E383" s="88"/>
      <c r="F383" s="88"/>
      <c r="G383" s="88"/>
      <c r="H383" s="88"/>
      <c r="I383" s="88"/>
      <c r="J383" s="88"/>
      <c r="K383" s="89">
        <f>SUM(K384:K384)</f>
        <v>1556300</v>
      </c>
      <c r="L383" s="89">
        <f>SUM(L384:L384)</f>
        <v>1556300</v>
      </c>
      <c r="M383" s="89">
        <f t="shared" si="41"/>
        <v>0</v>
      </c>
      <c r="N383" s="57"/>
      <c r="O383" s="57"/>
    </row>
    <row r="384" spans="1:13" ht="33.75">
      <c r="A384" s="68" t="s">
        <v>484</v>
      </c>
      <c r="B384" s="65"/>
      <c r="C384" s="88" t="s">
        <v>513</v>
      </c>
      <c r="D384" s="88"/>
      <c r="E384" s="88"/>
      <c r="F384" s="88"/>
      <c r="G384" s="88"/>
      <c r="H384" s="88"/>
      <c r="I384" s="88"/>
      <c r="J384" s="88"/>
      <c r="K384" s="89">
        <v>1556300</v>
      </c>
      <c r="L384" s="89">
        <v>1556300</v>
      </c>
      <c r="M384" s="89">
        <f t="shared" si="41"/>
        <v>0</v>
      </c>
    </row>
    <row r="385" spans="1:13" ht="21">
      <c r="A385" s="36" t="s">
        <v>175</v>
      </c>
      <c r="B385" s="37"/>
      <c r="C385" s="38" t="s">
        <v>395</v>
      </c>
      <c r="D385" s="38"/>
      <c r="E385" s="38"/>
      <c r="F385" s="38"/>
      <c r="G385" s="38"/>
      <c r="H385" s="38"/>
      <c r="I385" s="38"/>
      <c r="J385" s="38"/>
      <c r="K385" s="52">
        <f aca="true" t="shared" si="42" ref="K385:L388">K386</f>
        <v>158300</v>
      </c>
      <c r="L385" s="52">
        <f t="shared" si="42"/>
        <v>0</v>
      </c>
      <c r="M385" s="52">
        <f t="shared" si="41"/>
        <v>158300</v>
      </c>
    </row>
    <row r="386" spans="1:13" ht="21">
      <c r="A386" s="36" t="s">
        <v>724</v>
      </c>
      <c r="B386" s="37"/>
      <c r="C386" s="38" t="s">
        <v>396</v>
      </c>
      <c r="D386" s="38"/>
      <c r="E386" s="38"/>
      <c r="F386" s="38"/>
      <c r="G386" s="38"/>
      <c r="H386" s="38"/>
      <c r="I386" s="38"/>
      <c r="J386" s="38"/>
      <c r="K386" s="52">
        <f t="shared" si="42"/>
        <v>158300</v>
      </c>
      <c r="L386" s="52">
        <f t="shared" si="42"/>
        <v>0</v>
      </c>
      <c r="M386" s="52">
        <f t="shared" si="41"/>
        <v>158300</v>
      </c>
    </row>
    <row r="387" spans="1:13" ht="21">
      <c r="A387" s="36" t="s">
        <v>397</v>
      </c>
      <c r="B387" s="37"/>
      <c r="C387" s="38" t="s">
        <v>398</v>
      </c>
      <c r="D387" s="38"/>
      <c r="E387" s="38"/>
      <c r="F387" s="38"/>
      <c r="G387" s="38"/>
      <c r="H387" s="38"/>
      <c r="I387" s="38"/>
      <c r="J387" s="38"/>
      <c r="K387" s="52">
        <f t="shared" si="42"/>
        <v>158300</v>
      </c>
      <c r="L387" s="52">
        <f t="shared" si="42"/>
        <v>0</v>
      </c>
      <c r="M387" s="52">
        <f t="shared" si="41"/>
        <v>158300</v>
      </c>
    </row>
    <row r="388" spans="1:13" ht="21">
      <c r="A388" s="64" t="s">
        <v>399</v>
      </c>
      <c r="B388" s="65"/>
      <c r="C388" s="66" t="s">
        <v>400</v>
      </c>
      <c r="D388" s="66"/>
      <c r="E388" s="66"/>
      <c r="F388" s="66"/>
      <c r="G388" s="66"/>
      <c r="H388" s="66"/>
      <c r="I388" s="66"/>
      <c r="J388" s="66"/>
      <c r="K388" s="67">
        <f t="shared" si="42"/>
        <v>158300</v>
      </c>
      <c r="L388" s="67">
        <f t="shared" si="42"/>
        <v>0</v>
      </c>
      <c r="M388" s="67">
        <f t="shared" si="41"/>
        <v>158300</v>
      </c>
    </row>
    <row r="389" spans="1:13" ht="12.75">
      <c r="A389" s="68" t="s">
        <v>167</v>
      </c>
      <c r="B389" s="72"/>
      <c r="C389" s="70" t="s">
        <v>401</v>
      </c>
      <c r="D389" s="70"/>
      <c r="E389" s="70"/>
      <c r="F389" s="70"/>
      <c r="G389" s="70"/>
      <c r="H389" s="70"/>
      <c r="I389" s="70"/>
      <c r="J389" s="70"/>
      <c r="K389" s="71">
        <f aca="true" t="shared" si="43" ref="K389:L391">SUM(K390)</f>
        <v>158300</v>
      </c>
      <c r="L389" s="71">
        <f t="shared" si="43"/>
        <v>0</v>
      </c>
      <c r="M389" s="71">
        <f t="shared" si="41"/>
        <v>158300</v>
      </c>
    </row>
    <row r="390" spans="1:13" ht="12.75">
      <c r="A390" s="68" t="s">
        <v>77</v>
      </c>
      <c r="B390" s="72"/>
      <c r="C390" s="70" t="s">
        <v>137</v>
      </c>
      <c r="D390" s="70"/>
      <c r="E390" s="70"/>
      <c r="F390" s="70"/>
      <c r="G390" s="70"/>
      <c r="H390" s="70"/>
      <c r="I390" s="70"/>
      <c r="J390" s="70"/>
      <c r="K390" s="71">
        <f t="shared" si="43"/>
        <v>158300</v>
      </c>
      <c r="L390" s="71">
        <f t="shared" si="43"/>
        <v>0</v>
      </c>
      <c r="M390" s="71">
        <f t="shared" si="41"/>
        <v>158300</v>
      </c>
    </row>
    <row r="391" spans="1:13" ht="22.5">
      <c r="A391" s="68" t="s">
        <v>139</v>
      </c>
      <c r="B391" s="72"/>
      <c r="C391" s="70" t="s">
        <v>138</v>
      </c>
      <c r="D391" s="70"/>
      <c r="E391" s="70"/>
      <c r="F391" s="70"/>
      <c r="G391" s="70"/>
      <c r="H391" s="70"/>
      <c r="I391" s="70"/>
      <c r="J391" s="70"/>
      <c r="K391" s="71">
        <f t="shared" si="43"/>
        <v>158300</v>
      </c>
      <c r="L391" s="71">
        <f t="shared" si="43"/>
        <v>0</v>
      </c>
      <c r="M391" s="71">
        <f t="shared" si="41"/>
        <v>158300</v>
      </c>
    </row>
    <row r="392" spans="1:13" ht="12.75">
      <c r="A392" s="68" t="s">
        <v>140</v>
      </c>
      <c r="B392" s="72"/>
      <c r="C392" s="70" t="s">
        <v>73</v>
      </c>
      <c r="D392" s="70"/>
      <c r="E392" s="70"/>
      <c r="F392" s="70"/>
      <c r="G392" s="70"/>
      <c r="H392" s="70"/>
      <c r="I392" s="70"/>
      <c r="J392" s="70"/>
      <c r="K392" s="71">
        <v>158300</v>
      </c>
      <c r="L392" s="71">
        <v>0</v>
      </c>
      <c r="M392" s="71">
        <f>K392-L392</f>
        <v>158300</v>
      </c>
    </row>
    <row r="393" spans="1:14" ht="25.5">
      <c r="A393" s="82" t="s">
        <v>409</v>
      </c>
      <c r="B393" s="87"/>
      <c r="C393" s="83" t="s">
        <v>410</v>
      </c>
      <c r="D393" s="83"/>
      <c r="E393" s="83"/>
      <c r="F393" s="83"/>
      <c r="G393" s="83"/>
      <c r="H393" s="83"/>
      <c r="I393" s="83"/>
      <c r="J393" s="83"/>
      <c r="K393" s="84">
        <f aca="true" t="shared" si="44" ref="K393:L397">K394</f>
        <v>811500</v>
      </c>
      <c r="L393" s="84">
        <f t="shared" si="44"/>
        <v>810927.5</v>
      </c>
      <c r="M393" s="84">
        <f t="shared" si="41"/>
        <v>572.5</v>
      </c>
      <c r="N393" t="s">
        <v>521</v>
      </c>
    </row>
    <row r="394" spans="1:13" ht="12.75">
      <c r="A394" s="36" t="s">
        <v>258</v>
      </c>
      <c r="B394" s="37"/>
      <c r="C394" s="38" t="s">
        <v>411</v>
      </c>
      <c r="D394" s="38"/>
      <c r="E394" s="38"/>
      <c r="F394" s="38"/>
      <c r="G394" s="38"/>
      <c r="H394" s="38"/>
      <c r="I394" s="38"/>
      <c r="J394" s="38"/>
      <c r="K394" s="52">
        <f>K395+K403</f>
        <v>811500</v>
      </c>
      <c r="L394" s="52">
        <f>L395+L403</f>
        <v>810927.5</v>
      </c>
      <c r="M394" s="52">
        <f t="shared" si="41"/>
        <v>572.5</v>
      </c>
    </row>
    <row r="395" spans="1:13" ht="31.5">
      <c r="A395" s="36" t="s">
        <v>412</v>
      </c>
      <c r="B395" s="37"/>
      <c r="C395" s="38" t="s">
        <v>413</v>
      </c>
      <c r="D395" s="38"/>
      <c r="E395" s="38"/>
      <c r="F395" s="38"/>
      <c r="G395" s="38"/>
      <c r="H395" s="38"/>
      <c r="I395" s="38"/>
      <c r="J395" s="38"/>
      <c r="K395" s="52">
        <f t="shared" si="44"/>
        <v>779500</v>
      </c>
      <c r="L395" s="52">
        <f t="shared" si="44"/>
        <v>778927.5</v>
      </c>
      <c r="M395" s="52">
        <f t="shared" si="41"/>
        <v>572.5</v>
      </c>
    </row>
    <row r="396" spans="1:13" ht="31.5">
      <c r="A396" s="36" t="s">
        <v>262</v>
      </c>
      <c r="B396" s="37"/>
      <c r="C396" s="38" t="s">
        <v>414</v>
      </c>
      <c r="D396" s="38"/>
      <c r="E396" s="38"/>
      <c r="F396" s="38"/>
      <c r="G396" s="38"/>
      <c r="H396" s="38"/>
      <c r="I396" s="38"/>
      <c r="J396" s="38"/>
      <c r="K396" s="52">
        <f t="shared" si="44"/>
        <v>779500</v>
      </c>
      <c r="L396" s="52">
        <f t="shared" si="44"/>
        <v>778927.5</v>
      </c>
      <c r="M396" s="52">
        <f t="shared" si="41"/>
        <v>572.5</v>
      </c>
    </row>
    <row r="397" spans="1:13" ht="12.75">
      <c r="A397" s="64" t="s">
        <v>415</v>
      </c>
      <c r="B397" s="65"/>
      <c r="C397" s="66" t="s">
        <v>416</v>
      </c>
      <c r="D397" s="66"/>
      <c r="E397" s="66"/>
      <c r="F397" s="66"/>
      <c r="G397" s="66"/>
      <c r="H397" s="66"/>
      <c r="I397" s="66"/>
      <c r="J397" s="66"/>
      <c r="K397" s="67">
        <f t="shared" si="44"/>
        <v>779500</v>
      </c>
      <c r="L397" s="67">
        <f t="shared" si="44"/>
        <v>778927.5</v>
      </c>
      <c r="M397" s="67">
        <f t="shared" si="41"/>
        <v>572.5</v>
      </c>
    </row>
    <row r="398" spans="1:14" ht="22.5">
      <c r="A398" s="68" t="s">
        <v>266</v>
      </c>
      <c r="B398" s="69"/>
      <c r="C398" s="70" t="s">
        <v>417</v>
      </c>
      <c r="D398" s="70"/>
      <c r="E398" s="70"/>
      <c r="F398" s="70"/>
      <c r="G398" s="70"/>
      <c r="H398" s="70"/>
      <c r="I398" s="70"/>
      <c r="J398" s="70"/>
      <c r="K398" s="71">
        <f>SUM(K399)</f>
        <v>779500</v>
      </c>
      <c r="L398" s="71">
        <f>SUM(L399)</f>
        <v>778927.5</v>
      </c>
      <c r="M398" s="71">
        <f t="shared" si="41"/>
        <v>572.5</v>
      </c>
      <c r="N398" s="57"/>
    </row>
    <row r="399" spans="1:14" ht="12.75">
      <c r="A399" s="68" t="s">
        <v>77</v>
      </c>
      <c r="B399" s="69"/>
      <c r="C399" s="70" t="s">
        <v>128</v>
      </c>
      <c r="D399" s="70"/>
      <c r="E399" s="70"/>
      <c r="F399" s="70"/>
      <c r="G399" s="70"/>
      <c r="H399" s="70"/>
      <c r="I399" s="70"/>
      <c r="J399" s="70"/>
      <c r="K399" s="71">
        <f>SUM(K400)</f>
        <v>779500</v>
      </c>
      <c r="L399" s="71">
        <f>SUM(L400)</f>
        <v>778927.5</v>
      </c>
      <c r="M399" s="71">
        <f t="shared" si="41"/>
        <v>572.5</v>
      </c>
      <c r="N399" s="57"/>
    </row>
    <row r="400" spans="1:14" ht="22.5">
      <c r="A400" s="68" t="s">
        <v>80</v>
      </c>
      <c r="B400" s="69"/>
      <c r="C400" s="70" t="s">
        <v>129</v>
      </c>
      <c r="D400" s="70"/>
      <c r="E400" s="70"/>
      <c r="F400" s="70"/>
      <c r="G400" s="70"/>
      <c r="H400" s="70"/>
      <c r="I400" s="70"/>
      <c r="J400" s="70"/>
      <c r="K400" s="71">
        <f>SUM(K401:K402)</f>
        <v>779500</v>
      </c>
      <c r="L400" s="71">
        <f>SUM(L401:L402)</f>
        <v>778927.5</v>
      </c>
      <c r="M400" s="71">
        <f t="shared" si="41"/>
        <v>572.5</v>
      </c>
      <c r="N400" s="57"/>
    </row>
    <row r="401" spans="1:13" ht="12.75">
      <c r="A401" s="68" t="s">
        <v>165</v>
      </c>
      <c r="B401" s="69"/>
      <c r="C401" s="70" t="s">
        <v>427</v>
      </c>
      <c r="D401" s="70"/>
      <c r="E401" s="70"/>
      <c r="F401" s="70"/>
      <c r="G401" s="70"/>
      <c r="H401" s="70"/>
      <c r="I401" s="70"/>
      <c r="J401" s="70"/>
      <c r="K401" s="71">
        <v>621500</v>
      </c>
      <c r="L401" s="71">
        <f>464096.98+47001.68+109947.2</f>
        <v>621045.86</v>
      </c>
      <c r="M401" s="71">
        <f t="shared" si="41"/>
        <v>454.14000000001397</v>
      </c>
    </row>
    <row r="402" spans="1:13" ht="12.75">
      <c r="A402" s="68" t="s">
        <v>166</v>
      </c>
      <c r="B402" s="69"/>
      <c r="C402" s="70" t="s">
        <v>428</v>
      </c>
      <c r="D402" s="70"/>
      <c r="E402" s="70"/>
      <c r="F402" s="70"/>
      <c r="G402" s="70"/>
      <c r="H402" s="70"/>
      <c r="I402" s="70"/>
      <c r="J402" s="70"/>
      <c r="K402" s="71">
        <v>158000</v>
      </c>
      <c r="L402" s="71">
        <f>133287+14194+10400.64</f>
        <v>157881.64</v>
      </c>
      <c r="M402" s="71">
        <f t="shared" si="41"/>
        <v>118.35999999998603</v>
      </c>
    </row>
    <row r="403" spans="1:13" ht="52.5">
      <c r="A403" s="94" t="s">
        <v>47</v>
      </c>
      <c r="B403" s="69"/>
      <c r="C403" s="66" t="s">
        <v>520</v>
      </c>
      <c r="D403" s="66"/>
      <c r="E403" s="66"/>
      <c r="F403" s="66"/>
      <c r="G403" s="66"/>
      <c r="H403" s="66"/>
      <c r="I403" s="66"/>
      <c r="J403" s="66"/>
      <c r="K403" s="67">
        <f>K404+K409</f>
        <v>32000</v>
      </c>
      <c r="L403" s="67">
        <f>L404+L409</f>
        <v>32000</v>
      </c>
      <c r="M403" s="67">
        <f t="shared" si="41"/>
        <v>0</v>
      </c>
    </row>
    <row r="404" spans="1:13" ht="31.5">
      <c r="A404" s="36" t="s">
        <v>262</v>
      </c>
      <c r="B404" s="69"/>
      <c r="C404" s="66" t="s">
        <v>648</v>
      </c>
      <c r="D404" s="66"/>
      <c r="E404" s="66"/>
      <c r="F404" s="66"/>
      <c r="G404" s="66"/>
      <c r="H404" s="66"/>
      <c r="I404" s="66"/>
      <c r="J404" s="66"/>
      <c r="K404" s="67">
        <f aca="true" t="shared" si="45" ref="K404:L407">K405</f>
        <v>1000</v>
      </c>
      <c r="L404" s="67">
        <f t="shared" si="45"/>
        <v>1000</v>
      </c>
      <c r="M404" s="67">
        <f t="shared" si="41"/>
        <v>0</v>
      </c>
    </row>
    <row r="405" spans="1:13" ht="12.75">
      <c r="A405" s="36" t="s">
        <v>264</v>
      </c>
      <c r="B405" s="69"/>
      <c r="C405" s="66" t="s">
        <v>649</v>
      </c>
      <c r="D405" s="66"/>
      <c r="E405" s="66"/>
      <c r="F405" s="66"/>
      <c r="G405" s="66"/>
      <c r="H405" s="66"/>
      <c r="I405" s="66"/>
      <c r="J405" s="66"/>
      <c r="K405" s="67">
        <f t="shared" si="45"/>
        <v>1000</v>
      </c>
      <c r="L405" s="67">
        <f t="shared" si="45"/>
        <v>1000</v>
      </c>
      <c r="M405" s="67">
        <f t="shared" si="41"/>
        <v>0</v>
      </c>
    </row>
    <row r="406" spans="1:13" ht="22.5">
      <c r="A406" s="39" t="s">
        <v>266</v>
      </c>
      <c r="B406" s="69"/>
      <c r="C406" s="125" t="s">
        <v>650</v>
      </c>
      <c r="D406" s="66"/>
      <c r="E406" s="66"/>
      <c r="F406" s="66"/>
      <c r="G406" s="66"/>
      <c r="H406" s="66"/>
      <c r="I406" s="66"/>
      <c r="J406" s="66"/>
      <c r="K406" s="124">
        <f t="shared" si="45"/>
        <v>1000</v>
      </c>
      <c r="L406" s="124">
        <f t="shared" si="45"/>
        <v>1000</v>
      </c>
      <c r="M406" s="71">
        <f t="shared" si="41"/>
        <v>0</v>
      </c>
    </row>
    <row r="407" spans="1:13" ht="12.75">
      <c r="A407" s="68" t="s">
        <v>77</v>
      </c>
      <c r="B407" s="69"/>
      <c r="C407" s="70" t="s">
        <v>651</v>
      </c>
      <c r="D407" s="66"/>
      <c r="E407" s="66"/>
      <c r="F407" s="66"/>
      <c r="G407" s="66"/>
      <c r="H407" s="66"/>
      <c r="I407" s="66"/>
      <c r="J407" s="66"/>
      <c r="K407" s="124">
        <f t="shared" si="45"/>
        <v>1000</v>
      </c>
      <c r="L407" s="124">
        <f t="shared" si="45"/>
        <v>1000</v>
      </c>
      <c r="M407" s="71">
        <f t="shared" si="41"/>
        <v>0</v>
      </c>
    </row>
    <row r="408" spans="1:13" ht="12.75">
      <c r="A408" s="68" t="s">
        <v>167</v>
      </c>
      <c r="B408" s="69"/>
      <c r="C408" s="125" t="s">
        <v>652</v>
      </c>
      <c r="D408" s="66"/>
      <c r="E408" s="66"/>
      <c r="F408" s="66"/>
      <c r="G408" s="66"/>
      <c r="H408" s="66"/>
      <c r="I408" s="66"/>
      <c r="J408" s="66"/>
      <c r="K408" s="124">
        <v>1000</v>
      </c>
      <c r="L408" s="124">
        <v>1000</v>
      </c>
      <c r="M408" s="71">
        <f t="shared" si="41"/>
        <v>0</v>
      </c>
    </row>
    <row r="409" spans="1:13" ht="12.75">
      <c r="A409" s="36" t="s">
        <v>204</v>
      </c>
      <c r="B409" s="69"/>
      <c r="C409" s="66" t="s">
        <v>514</v>
      </c>
      <c r="D409" s="66"/>
      <c r="E409" s="66"/>
      <c r="F409" s="66"/>
      <c r="G409" s="66"/>
      <c r="H409" s="66"/>
      <c r="I409" s="66"/>
      <c r="J409" s="66"/>
      <c r="K409" s="67">
        <f aca="true" t="shared" si="46" ref="K409:L413">K410</f>
        <v>31000</v>
      </c>
      <c r="L409" s="67">
        <f t="shared" si="46"/>
        <v>31000</v>
      </c>
      <c r="M409" s="67">
        <f t="shared" si="41"/>
        <v>0</v>
      </c>
    </row>
    <row r="410" spans="1:13" ht="63">
      <c r="A410" s="95" t="s">
        <v>272</v>
      </c>
      <c r="B410" s="69"/>
      <c r="C410" s="66" t="s">
        <v>515</v>
      </c>
      <c r="D410" s="66"/>
      <c r="E410" s="66"/>
      <c r="F410" s="66"/>
      <c r="G410" s="66"/>
      <c r="H410" s="66"/>
      <c r="I410" s="66"/>
      <c r="J410" s="66"/>
      <c r="K410" s="67">
        <f t="shared" si="46"/>
        <v>31000</v>
      </c>
      <c r="L410" s="67">
        <f t="shared" si="46"/>
        <v>31000</v>
      </c>
      <c r="M410" s="67">
        <f t="shared" si="41"/>
        <v>0</v>
      </c>
    </row>
    <row r="411" spans="1:13" ht="12.75">
      <c r="A411" s="39" t="s">
        <v>274</v>
      </c>
      <c r="B411" s="69"/>
      <c r="C411" s="70" t="s">
        <v>516</v>
      </c>
      <c r="D411" s="70"/>
      <c r="E411" s="70"/>
      <c r="F411" s="70"/>
      <c r="G411" s="70"/>
      <c r="H411" s="70"/>
      <c r="I411" s="70"/>
      <c r="J411" s="70"/>
      <c r="K411" s="71">
        <f t="shared" si="46"/>
        <v>31000</v>
      </c>
      <c r="L411" s="71">
        <f t="shared" si="46"/>
        <v>31000</v>
      </c>
      <c r="M411" s="71">
        <f t="shared" si="41"/>
        <v>0</v>
      </c>
    </row>
    <row r="412" spans="1:13" ht="12.75">
      <c r="A412" s="68" t="s">
        <v>77</v>
      </c>
      <c r="B412" s="69"/>
      <c r="C412" s="70" t="s">
        <v>517</v>
      </c>
      <c r="D412" s="70"/>
      <c r="E412" s="70"/>
      <c r="F412" s="70"/>
      <c r="G412" s="70"/>
      <c r="H412" s="70"/>
      <c r="I412" s="70"/>
      <c r="J412" s="70"/>
      <c r="K412" s="71">
        <f t="shared" si="46"/>
        <v>31000</v>
      </c>
      <c r="L412" s="71">
        <f t="shared" si="46"/>
        <v>31000</v>
      </c>
      <c r="M412" s="71">
        <f t="shared" si="41"/>
        <v>0</v>
      </c>
    </row>
    <row r="413" spans="1:13" ht="12.75">
      <c r="A413" s="68" t="s">
        <v>87</v>
      </c>
      <c r="B413" s="69"/>
      <c r="C413" s="70" t="s">
        <v>518</v>
      </c>
      <c r="D413" s="70"/>
      <c r="E413" s="70"/>
      <c r="F413" s="70"/>
      <c r="G413" s="70"/>
      <c r="H413" s="70"/>
      <c r="I413" s="70"/>
      <c r="J413" s="70"/>
      <c r="K413" s="71">
        <f t="shared" si="46"/>
        <v>31000</v>
      </c>
      <c r="L413" s="71">
        <f t="shared" si="46"/>
        <v>31000</v>
      </c>
      <c r="M413" s="71">
        <f t="shared" si="41"/>
        <v>0</v>
      </c>
    </row>
    <row r="414" spans="1:13" ht="22.5">
      <c r="A414" s="68" t="s">
        <v>88</v>
      </c>
      <c r="B414" s="69"/>
      <c r="C414" s="70" t="s">
        <v>519</v>
      </c>
      <c r="D414" s="70"/>
      <c r="E414" s="70"/>
      <c r="F414" s="70"/>
      <c r="G414" s="70"/>
      <c r="H414" s="70"/>
      <c r="I414" s="70"/>
      <c r="J414" s="70"/>
      <c r="K414" s="71">
        <v>31000</v>
      </c>
      <c r="L414" s="71">
        <v>31000</v>
      </c>
      <c r="M414" s="71">
        <f>K414-L414</f>
        <v>0</v>
      </c>
    </row>
    <row r="415" spans="1:14" ht="25.5">
      <c r="A415" s="47" t="s">
        <v>418</v>
      </c>
      <c r="B415" s="44" t="s">
        <v>419</v>
      </c>
      <c r="C415" s="48"/>
      <c r="D415" s="48"/>
      <c r="E415" s="48"/>
      <c r="F415" s="48"/>
      <c r="G415" s="48"/>
      <c r="H415" s="48"/>
      <c r="I415" s="48"/>
      <c r="J415" s="48"/>
      <c r="K415" s="52">
        <f>ДОХОДЫ!D74-РАСХОДЫ!K4</f>
        <v>-13472350</v>
      </c>
      <c r="L415" s="52">
        <f>ДОХОДЫ!E74-РАСХОДЫ!L4</f>
        <v>-2946855.0299999863</v>
      </c>
      <c r="M415" s="126" t="s">
        <v>450</v>
      </c>
      <c r="N415" s="57">
        <f>K415-L415</f>
        <v>-10525494.970000014</v>
      </c>
    </row>
    <row r="421" spans="11:14" ht="12.75">
      <c r="K421" s="97"/>
      <c r="L421" s="98"/>
      <c r="M421" s="99"/>
      <c r="N421" s="2"/>
    </row>
    <row r="422" spans="11:14" ht="12.75">
      <c r="K422" s="97"/>
      <c r="L422" s="98"/>
      <c r="M422" s="99"/>
      <c r="N422" s="2"/>
    </row>
    <row r="423" spans="11:14" ht="12.75">
      <c r="K423" s="97"/>
      <c r="L423" s="98"/>
      <c r="M423" s="99"/>
      <c r="N423" s="2"/>
    </row>
    <row r="424" spans="11:14" ht="12.75">
      <c r="K424" s="97"/>
      <c r="L424" s="98"/>
      <c r="M424" s="99"/>
      <c r="N424" s="2"/>
    </row>
    <row r="425" spans="11:14" ht="12.75">
      <c r="K425" s="97"/>
      <c r="L425" s="98"/>
      <c r="M425" s="99"/>
      <c r="N425" s="2"/>
    </row>
    <row r="426" spans="11:14" ht="12.75">
      <c r="K426" s="97"/>
      <c r="L426" s="98"/>
      <c r="M426" s="99"/>
      <c r="N426" s="2"/>
    </row>
    <row r="427" spans="11:14" ht="12.75">
      <c r="K427" s="97"/>
      <c r="L427" s="98"/>
      <c r="M427" s="99"/>
      <c r="N427" s="2"/>
    </row>
    <row r="428" spans="11:14" ht="12.75">
      <c r="K428" s="97"/>
      <c r="L428" s="98"/>
      <c r="M428" s="99"/>
      <c r="N428" s="2"/>
    </row>
    <row r="429" spans="11:14" ht="12.75">
      <c r="K429" s="97"/>
      <c r="L429" s="98"/>
      <c r="M429" s="99"/>
      <c r="N429" s="2"/>
    </row>
    <row r="430" spans="11:14" ht="12.75">
      <c r="K430" s="97"/>
      <c r="L430" s="98"/>
      <c r="M430" s="99"/>
      <c r="N430" s="2"/>
    </row>
    <row r="431" spans="11:14" ht="12.75">
      <c r="K431" s="97"/>
      <c r="L431" s="98"/>
      <c r="M431" s="99"/>
      <c r="N431" s="2"/>
    </row>
    <row r="432" spans="11:14" ht="12.75">
      <c r="K432" s="97"/>
      <c r="L432" s="98"/>
      <c r="M432" s="99"/>
      <c r="N432" s="2"/>
    </row>
    <row r="433" spans="11:14" ht="12.75">
      <c r="K433" s="97"/>
      <c r="L433" s="98"/>
      <c r="M433" s="99"/>
      <c r="N433" s="2"/>
    </row>
    <row r="434" spans="11:14" ht="12.75">
      <c r="K434" s="97"/>
      <c r="L434" s="98"/>
      <c r="M434" s="99"/>
      <c r="N434" s="2"/>
    </row>
    <row r="435" spans="11:14" ht="12.75">
      <c r="K435" s="97"/>
      <c r="L435" s="100"/>
      <c r="M435" s="99"/>
      <c r="N435" s="101"/>
    </row>
    <row r="436" spans="11:14" ht="12.75">
      <c r="K436" s="99"/>
      <c r="L436" s="99"/>
      <c r="M436" s="99"/>
      <c r="N436" s="2"/>
    </row>
  </sheetData>
  <sheetProtection/>
  <mergeCells count="3">
    <mergeCell ref="A1:M1"/>
    <mergeCell ref="A2:K2"/>
    <mergeCell ref="L2:M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4" r:id="rId1"/>
  <rowBreaks count="1" manualBreakCount="1">
    <brk id="20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1.375" style="0" customWidth="1"/>
    <col min="2" max="2" width="5.625" style="0" customWidth="1"/>
    <col min="3" max="3" width="22.625" style="0" customWidth="1"/>
    <col min="4" max="4" width="14.00390625" style="0" customWidth="1"/>
    <col min="5" max="5" width="13.125" style="0" customWidth="1"/>
    <col min="6" max="6" width="14.125" style="0" customWidth="1"/>
    <col min="7" max="7" width="26.00390625" style="26" customWidth="1"/>
  </cols>
  <sheetData>
    <row r="1" spans="1:6" ht="12.75">
      <c r="A1" s="16"/>
      <c r="B1" s="17"/>
      <c r="C1" s="18"/>
      <c r="D1" s="19"/>
      <c r="E1" s="154" t="s">
        <v>196</v>
      </c>
      <c r="F1" s="155"/>
    </row>
    <row r="2" spans="1:6" ht="12.75">
      <c r="A2" s="20"/>
      <c r="B2" s="21"/>
      <c r="C2" s="6"/>
      <c r="D2" s="22"/>
      <c r="E2" s="22"/>
      <c r="F2" s="22"/>
    </row>
    <row r="3" spans="1:6" ht="15">
      <c r="A3" s="10" t="s">
        <v>195</v>
      </c>
      <c r="B3" s="9"/>
      <c r="C3" s="11"/>
      <c r="D3" s="23"/>
      <c r="E3" s="24"/>
      <c r="F3" s="19"/>
    </row>
    <row r="4" spans="1:6" ht="12.75">
      <c r="A4" s="12"/>
      <c r="B4" s="25"/>
      <c r="C4" s="13"/>
      <c r="D4" s="14"/>
      <c r="E4" s="14"/>
      <c r="F4" s="1"/>
    </row>
    <row r="5" spans="1:6" ht="33.75">
      <c r="A5" s="115" t="s">
        <v>161</v>
      </c>
      <c r="B5" s="115" t="s">
        <v>154</v>
      </c>
      <c r="C5" s="115" t="s">
        <v>253</v>
      </c>
      <c r="D5" s="116" t="s">
        <v>187</v>
      </c>
      <c r="E5" s="116" t="s">
        <v>149</v>
      </c>
      <c r="F5" s="115" t="s">
        <v>188</v>
      </c>
    </row>
    <row r="6" spans="1:6" ht="12.75">
      <c r="A6" s="117">
        <v>1</v>
      </c>
      <c r="B6" s="117">
        <v>2</v>
      </c>
      <c r="C6" s="117">
        <v>3</v>
      </c>
      <c r="D6" s="118" t="s">
        <v>162</v>
      </c>
      <c r="E6" s="118" t="s">
        <v>163</v>
      </c>
      <c r="F6" s="118" t="s">
        <v>164</v>
      </c>
    </row>
    <row r="7" spans="1:6" ht="25.5">
      <c r="A7" s="128" t="s">
        <v>218</v>
      </c>
      <c r="B7" s="120">
        <v>500</v>
      </c>
      <c r="C7" s="129" t="s">
        <v>450</v>
      </c>
      <c r="D7" s="129">
        <f>SUM(D8)</f>
        <v>13472350</v>
      </c>
      <c r="E7" s="129">
        <f>SUM(E8)</f>
        <v>2946855.0299999863</v>
      </c>
      <c r="F7" s="129">
        <f>SUM(D7-E7)</f>
        <v>10525494.970000014</v>
      </c>
    </row>
    <row r="8" spans="1:6" ht="25.5">
      <c r="A8" s="119" t="s">
        <v>219</v>
      </c>
      <c r="B8" s="122">
        <v>520</v>
      </c>
      <c r="C8" s="121" t="s">
        <v>450</v>
      </c>
      <c r="D8" s="121">
        <f>РАСХОДЫ!K4-ДОХОДЫ!D74</f>
        <v>13472350</v>
      </c>
      <c r="E8" s="121">
        <f>РАСХОДЫ!L4-ДОХОДЫ!E74</f>
        <v>2946855.0299999863</v>
      </c>
      <c r="F8" s="121">
        <f>SUM(D8-E8)</f>
        <v>10525494.970000014</v>
      </c>
    </row>
    <row r="9" spans="1:6" ht="25.5">
      <c r="A9" s="119" t="s">
        <v>220</v>
      </c>
      <c r="B9" s="122">
        <v>520</v>
      </c>
      <c r="C9" s="31" t="s">
        <v>221</v>
      </c>
      <c r="D9" s="121">
        <f>SUM(D11+D13)</f>
        <v>5000000</v>
      </c>
      <c r="E9" s="121">
        <v>0</v>
      </c>
      <c r="F9" s="121">
        <v>0</v>
      </c>
    </row>
    <row r="10" spans="1:6" ht="27" customHeight="1">
      <c r="A10" s="119" t="s">
        <v>222</v>
      </c>
      <c r="B10" s="122">
        <v>520</v>
      </c>
      <c r="C10" s="31" t="s">
        <v>223</v>
      </c>
      <c r="D10" s="121">
        <f>SUM(D12+D14)</f>
        <v>5000000</v>
      </c>
      <c r="E10" s="121">
        <v>0</v>
      </c>
      <c r="F10" s="121">
        <v>0</v>
      </c>
    </row>
    <row r="11" spans="1:6" ht="38.25">
      <c r="A11" s="119" t="s">
        <v>224</v>
      </c>
      <c r="B11" s="122">
        <v>520</v>
      </c>
      <c r="C11" s="31" t="s">
        <v>225</v>
      </c>
      <c r="D11" s="121">
        <f>SUM(D13+D15)</f>
        <v>0</v>
      </c>
      <c r="E11" s="121">
        <v>0</v>
      </c>
      <c r="F11" s="121">
        <v>0</v>
      </c>
    </row>
    <row r="12" spans="1:6" ht="25.5">
      <c r="A12" s="119" t="s">
        <v>226</v>
      </c>
      <c r="B12" s="122">
        <v>520</v>
      </c>
      <c r="C12" s="31" t="s">
        <v>227</v>
      </c>
      <c r="D12" s="121">
        <f>SUM(D14+D16)</f>
        <v>0</v>
      </c>
      <c r="E12" s="121">
        <v>0</v>
      </c>
      <c r="F12" s="121">
        <v>0</v>
      </c>
    </row>
    <row r="13" spans="1:6" ht="38.25">
      <c r="A13" s="119" t="s">
        <v>228</v>
      </c>
      <c r="B13" s="122">
        <v>520</v>
      </c>
      <c r="C13" s="31" t="s">
        <v>229</v>
      </c>
      <c r="D13" s="121">
        <f>D14</f>
        <v>5000000</v>
      </c>
      <c r="E13" s="121">
        <v>0</v>
      </c>
      <c r="F13" s="121">
        <f>SUM(D13-E13)</f>
        <v>5000000</v>
      </c>
    </row>
    <row r="14" spans="1:6" ht="51">
      <c r="A14" s="119" t="s">
        <v>230</v>
      </c>
      <c r="B14" s="122">
        <v>520</v>
      </c>
      <c r="C14" s="31" t="s">
        <v>231</v>
      </c>
      <c r="D14" s="121">
        <v>5000000</v>
      </c>
      <c r="E14" s="121">
        <v>0</v>
      </c>
      <c r="F14" s="121">
        <f>SUM(D14-E14)</f>
        <v>5000000</v>
      </c>
    </row>
    <row r="15" spans="1:6" ht="51">
      <c r="A15" s="119" t="s">
        <v>232</v>
      </c>
      <c r="B15" s="122">
        <v>520</v>
      </c>
      <c r="C15" s="31" t="s">
        <v>233</v>
      </c>
      <c r="D15" s="121">
        <f>SUM(D16)</f>
        <v>-5000000</v>
      </c>
      <c r="E15" s="121">
        <v>0</v>
      </c>
      <c r="F15" s="121">
        <f>SUM(D15-E15)</f>
        <v>-5000000</v>
      </c>
    </row>
    <row r="16" spans="1:6" ht="51">
      <c r="A16" s="119" t="s">
        <v>234</v>
      </c>
      <c r="B16" s="122">
        <v>520</v>
      </c>
      <c r="C16" s="31" t="s">
        <v>235</v>
      </c>
      <c r="D16" s="121">
        <v>-5000000</v>
      </c>
      <c r="E16" s="121">
        <v>0</v>
      </c>
      <c r="F16" s="121">
        <f>SUM(D16-E16)</f>
        <v>-5000000</v>
      </c>
    </row>
    <row r="17" spans="1:6" ht="21">
      <c r="A17" s="128" t="s">
        <v>661</v>
      </c>
      <c r="B17" s="120">
        <v>700</v>
      </c>
      <c r="C17" s="130" t="s">
        <v>662</v>
      </c>
      <c r="D17" s="129">
        <f>D18</f>
        <v>13472350</v>
      </c>
      <c r="E17" s="129">
        <f>E18</f>
        <v>2946855.0299999863</v>
      </c>
      <c r="F17" s="129">
        <f>F18</f>
        <v>10525494.970000014</v>
      </c>
    </row>
    <row r="18" spans="1:6" ht="25.5">
      <c r="A18" s="119" t="s">
        <v>236</v>
      </c>
      <c r="B18" s="122">
        <v>700</v>
      </c>
      <c r="C18" s="31" t="s">
        <v>237</v>
      </c>
      <c r="D18" s="121">
        <f>D19+D23</f>
        <v>13472350</v>
      </c>
      <c r="E18" s="121">
        <f>SUM(E19+E23)</f>
        <v>2946855.0299999863</v>
      </c>
      <c r="F18" s="121">
        <f>SUM(D18-E18)</f>
        <v>10525494.970000014</v>
      </c>
    </row>
    <row r="19" spans="1:6" ht="27.75" customHeight="1">
      <c r="A19" s="119" t="s">
        <v>238</v>
      </c>
      <c r="B19" s="122">
        <v>710</v>
      </c>
      <c r="C19" s="31" t="s">
        <v>239</v>
      </c>
      <c r="D19" s="121">
        <f aca="true" t="shared" si="0" ref="D19:E21">SUM(D20)</f>
        <v>-79330984</v>
      </c>
      <c r="E19" s="121">
        <f t="shared" si="0"/>
        <v>-78597098.23</v>
      </c>
      <c r="F19" s="121" t="s">
        <v>450</v>
      </c>
    </row>
    <row r="20" spans="1:6" ht="25.5">
      <c r="A20" s="119" t="s">
        <v>240</v>
      </c>
      <c r="B20" s="122">
        <v>710</v>
      </c>
      <c r="C20" s="31" t="s">
        <v>241</v>
      </c>
      <c r="D20" s="121">
        <f t="shared" si="0"/>
        <v>-79330984</v>
      </c>
      <c r="E20" s="121">
        <f t="shared" si="0"/>
        <v>-78597098.23</v>
      </c>
      <c r="F20" s="121" t="s">
        <v>450</v>
      </c>
    </row>
    <row r="21" spans="1:6" ht="25.5">
      <c r="A21" s="119" t="s">
        <v>586</v>
      </c>
      <c r="B21" s="122">
        <v>710</v>
      </c>
      <c r="C21" s="31" t="s">
        <v>243</v>
      </c>
      <c r="D21" s="121">
        <f t="shared" si="0"/>
        <v>-79330984</v>
      </c>
      <c r="E21" s="121">
        <f t="shared" si="0"/>
        <v>-78597098.23</v>
      </c>
      <c r="F21" s="121" t="s">
        <v>450</v>
      </c>
    </row>
    <row r="22" spans="1:6" ht="25.5">
      <c r="A22" s="119" t="s">
        <v>244</v>
      </c>
      <c r="B22" s="122">
        <v>710</v>
      </c>
      <c r="C22" s="31" t="s">
        <v>245</v>
      </c>
      <c r="D22" s="121">
        <f>-(ДОХОДЫ!D74-'ИСТОЧ.ФИНАНСИР.ДЕФИЦИТОВ'!D16)</f>
        <v>-79330984</v>
      </c>
      <c r="E22" s="121">
        <f>-(ДОХОДЫ!E74-'ИСТОЧ.ФИНАНСИР.ДЕФИЦИТОВ'!E16)</f>
        <v>-78597098.23</v>
      </c>
      <c r="F22" s="121" t="s">
        <v>450</v>
      </c>
    </row>
    <row r="23" spans="1:6" ht="23.25" customHeight="1">
      <c r="A23" s="119" t="s">
        <v>250</v>
      </c>
      <c r="B23" s="122">
        <v>720</v>
      </c>
      <c r="C23" s="31" t="s">
        <v>246</v>
      </c>
      <c r="D23" s="121">
        <f aca="true" t="shared" si="1" ref="D23:E25">SUM(D24)</f>
        <v>92803334</v>
      </c>
      <c r="E23" s="121">
        <f t="shared" si="1"/>
        <v>81543953.25999999</v>
      </c>
      <c r="F23" s="121" t="s">
        <v>450</v>
      </c>
    </row>
    <row r="24" spans="1:6" ht="25.5">
      <c r="A24" s="119" t="s">
        <v>251</v>
      </c>
      <c r="B24" s="122">
        <v>720</v>
      </c>
      <c r="C24" s="31" t="s">
        <v>247</v>
      </c>
      <c r="D24" s="121">
        <f t="shared" si="1"/>
        <v>92803334</v>
      </c>
      <c r="E24" s="121">
        <f t="shared" si="1"/>
        <v>81543953.25999999</v>
      </c>
      <c r="F24" s="121" t="s">
        <v>450</v>
      </c>
    </row>
    <row r="25" spans="1:6" ht="25.5">
      <c r="A25" s="119" t="s">
        <v>242</v>
      </c>
      <c r="B25" s="122">
        <v>720</v>
      </c>
      <c r="C25" s="31" t="s">
        <v>248</v>
      </c>
      <c r="D25" s="121">
        <f t="shared" si="1"/>
        <v>92803334</v>
      </c>
      <c r="E25" s="121">
        <f t="shared" si="1"/>
        <v>81543953.25999999</v>
      </c>
      <c r="F25" s="121" t="s">
        <v>450</v>
      </c>
    </row>
    <row r="26" spans="1:6" ht="25.5">
      <c r="A26" s="119" t="s">
        <v>252</v>
      </c>
      <c r="B26" s="122">
        <v>720</v>
      </c>
      <c r="C26" s="31" t="s">
        <v>249</v>
      </c>
      <c r="D26" s="121">
        <f>РАСХОДЫ!K4+'ИСТОЧ.ФИНАНСИР.ДЕФИЦИТОВ'!D14</f>
        <v>92803334</v>
      </c>
      <c r="E26" s="121">
        <f>РАСХОДЫ!L4-'ИСТОЧ.ФИНАНСИР.ДЕФИЦИТОВ'!E14</f>
        <v>81543953.25999999</v>
      </c>
      <c r="F26" s="121" t="s">
        <v>450</v>
      </c>
    </row>
    <row r="30" spans="1:6" ht="12.75">
      <c r="A30" s="149" t="s">
        <v>727</v>
      </c>
      <c r="B30" s="149"/>
      <c r="C30" s="149"/>
      <c r="D30" s="149"/>
      <c r="E30" s="149"/>
      <c r="F30" s="149"/>
    </row>
    <row r="32" spans="1:6" ht="12.75">
      <c r="A32" s="149" t="s">
        <v>728</v>
      </c>
      <c r="B32" s="149"/>
      <c r="C32" s="149"/>
      <c r="D32" s="149"/>
      <c r="E32" s="149"/>
      <c r="F32" s="149"/>
    </row>
    <row r="35" ht="12.75">
      <c r="A35" t="s">
        <v>729</v>
      </c>
    </row>
  </sheetData>
  <sheetProtection/>
  <mergeCells count="3">
    <mergeCell ref="E1:F1"/>
    <mergeCell ref="A30:F30"/>
    <mergeCell ref="A32:F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2013-01-17T07:17:46Z</cp:lastPrinted>
  <dcterms:created xsi:type="dcterms:W3CDTF">2007-03-14T07:24:06Z</dcterms:created>
  <dcterms:modified xsi:type="dcterms:W3CDTF">2013-01-17T07:37:59Z</dcterms:modified>
  <cp:category/>
  <cp:version/>
  <cp:contentType/>
  <cp:contentStatus/>
</cp:coreProperties>
</file>